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INFORMESCARLOS\REPORTES SEMESTRALES\INFORME SEMESTRAL CONTROL INTERNO\2023\"/>
    </mc:Choice>
  </mc:AlternateContent>
  <workbookProtection workbookAlgorithmName="SHA-512" workbookHashValue="/1OnpfeW4TuDOyTSgGEJ6s5UA5j4fhj7i2iIteL6SHdXfnJNH1v5Ss+CcGTpaplwXLILeiQ9FRpnAQn7GJQjQg==" workbookSaltValue="6ozQMJoaOMVRY0fztLDSvA==" workbookSpinCount="100000" lockStructure="1"/>
  <bookViews>
    <workbookView xWindow="0" yWindow="0" windowWidth="20490" windowHeight="7155" activeTab="3"/>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52511"/>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<sst xmlns="http://schemas.openxmlformats.org/spreadsheetml/2006/main" count="514" uniqueCount="236">
  <si>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</si>
  <si>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</si>
  <si>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</si>
  <si>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</si>
  <si>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</si>
  <si>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</si>
  <si>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</si>
  <si>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</si>
  <si>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</si>
  <si>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</si>
  <si>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</si>
  <si>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</si>
  <si>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</si>
  <si>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</si>
  <si>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</si>
  <si>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</si>
  <si>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</si>
  <si>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</si>
  <si>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</si>
  <si>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</si>
  <si>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</si>
  <si>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</si>
  <si>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</si>
  <si>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</si>
  <si>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</si>
  <si>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</si>
  <si>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</si>
  <si>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</si>
  <si>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</si>
  <si>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</si>
  <si>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</si>
  <si>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</si>
  <si>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</si>
  <si>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</si>
  <si>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</si>
  <si>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</si>
  <si>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</si>
  <si>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</si>
  <si>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</si>
  <si>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</si>
  <si>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</si>
  <si>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</si>
  <si>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</si>
  <si>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</si>
  <si>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</si>
  <si>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</si>
  <si>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</si>
  <si>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</si>
  <si>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</si>
  <si>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</si>
  <si>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</si>
  <si>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</si>
  <si>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</si>
  <si>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</si>
  <si>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</si>
  <si>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</si>
  <si>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</si>
  <si>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</si>
  <si>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</si>
  <si>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</si>
  <si>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</si>
  <si>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</si>
  <si>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</si>
  <si>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</si>
  <si>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</si>
  <si>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</si>
  <si>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</si>
  <si>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</si>
  <si>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</si>
  <si>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</si>
  <si>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</si>
  <si>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</si>
  <si>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</si>
  <si>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</si>
  <si>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</si>
  <si>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</si>
  <si>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</si>
  <si>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</si>
  <si>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</si>
  <si>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</si>
  <si>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</si>
  <si>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</si>
  <si>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</si>
  <si>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</si>
  <si>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</si>
  <si>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</si>
  <si>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</si>
  <si>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</si>
  <si>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</si>
  <si>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</si>
  <si>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</si>
  <si>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</si>
  <si>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</si>
  <si>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</si>
  <si>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</si>
  <si>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</si>
  <si>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</si>
  <si>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</si>
  <si>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</si>
  <si>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</si>
  <si>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</si>
  <si>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</si>
  <si>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</si>
  <si>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</si>
  <si>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</si>
  <si>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</si>
  <si>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</si>
  <si>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</si>
  <si>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</si>
  <si>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</si>
  <si>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</si>
  <si>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</si>
  <si>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</si>
  <si>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</si>
  <si>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</si>
  <si>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</si>
  <si>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</si>
  <si>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</si>
  <si>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</si>
  <si>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</si>
  <si>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</si>
  <si>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</si>
  <si>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</si>
  <si>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</si>
  <si>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</si>
  <si>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</si>
  <si>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</si>
  <si>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</si>
  <si>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</si>
  <si>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</si>
  <si>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</si>
  <si>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</si>
  <si>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</si>
  <si>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</si>
  <si>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</si>
  <si>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</si>
  <si>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</si>
  <si>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</si>
  <si>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</si>
  <si>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</si>
  <si>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</si>
  <si>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</si>
  <si>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</si>
  <si>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</si>
  <si>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</si>
  <si>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</si>
  <si>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</si>
  <si>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</si>
  <si>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</si>
  <si>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</si>
  <si>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</si>
  <si>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</si>
  <si>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</si>
  <si>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</si>
  <si>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</si>
  <si>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</si>
  <si>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</si>
  <si>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</si>
  <si>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</si>
  <si>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</si>
  <si>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</si>
  <si>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</si>
  <si>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</si>
  <si>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</si>
  <si>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</si>
  <si>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</si>
  <si>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</si>
  <si>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</si>
  <si>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</si>
  <si>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</si>
  <si>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</si>
  <si>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</si>
  <si>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</si>
  <si>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</si>
  <si>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</si>
  <si>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</si>
  <si>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</si>
  <si>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</si>
  <si>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</si>
  <si>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</si>
  <si>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</si>
  <si>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</si>
  <si>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</si>
  <si>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</si>
  <si>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</si>
  <si>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</si>
  <si>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</si>
  <si>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</si>
  <si>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</si>
  <si>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</si>
  <si>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</si>
  <si>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 xml:space="preserve">Se tienen identificados cambios en su entorno que puedan generar consecuencias negativas en su gestión mediante mapa de riesgos institucional. </t>
  </si>
  <si>
    <t>Se tiene documentado un mapa de riesgos en donde se contemplan aspectos que puedan impedir el cumplimiento de los objetivos institucionales y sus acciones para mitigar su impacto dada la probabilidad de ocurrencia.</t>
  </si>
  <si>
    <t>Se encuentra conformado el Comité Institucional de Coordinación de Control Interno el cual propone acciones para sus soluciones.</t>
  </si>
  <si>
    <t>Planes de Mejora</t>
  </si>
  <si>
    <t xml:space="preserve">El Centro de Salud de Guachaves  E.S.E., cuenta con un documento del Código de Integridad actualizado, adoptado mediante acto administrativo, el cual formaliza los estándares de conducta y los valores del servidor público. </t>
  </si>
  <si>
    <t>El Centro de Salud de Guachaves  E.S.E, Tiene plasmados los planes, programas y proyectos en Plan de Desarrollo Institucional 2020 - 2024.</t>
  </si>
  <si>
    <t>El Centro de Salud de Guachaves  E.S.E., cuenta con una estructura organizacional formalizada.</t>
  </si>
  <si>
    <t>El Centro de Salud de Guachaves  E.S.E, cuenta con un Manual de Funciones y Competencias Laborales actualizado, que describe los empleos de la entidad, el cual fue aprobado por la Junta Directiva para la vigencia 2021 a traves del acuerdo 1160 del 29 de dicimebre del 2020.</t>
  </si>
  <si>
    <t xml:space="preserve">El Centro de Salud de Guachaves  E.S.E., se encuentra en proceso de actualización del manual de procesos y procedimientos, razón por la cual los procesos de desvinculación del personal se encuentran en actualización. </t>
  </si>
  <si>
    <t xml:space="preserve">El Centro de Salud de Guachaves  E.S.E., presenta oportunamente los informes de gestión y control, dentro de los términos establecidos por los organismos de control y en las plataformas respectivas como PISIS y los repectivos infotmes a la supersalud. </t>
  </si>
  <si>
    <t xml:space="preserve">El Centro de Salud de Guachaves  E.S.E., se están actualizando el manual de procesos y procedimientos, por ende los procesos de inducción, capacitación y Bienestar se encuentran sujetos a dichas actualizaciones. </t>
  </si>
  <si>
    <t xml:space="preserve">El Centro de Salud de Guachaves  E.S.E, durante el periodo de reporte del II informe semestral de control interno no se ha aplicado ninguna evaluación a sus servidores Públicos. </t>
  </si>
  <si>
    <t xml:space="preserve">El Centro de Salud de Guachaves  E.S.E., se encuentra en proceso de actualización del manual de proceso y procedimientos y pretende incluir un proceso mediante el cual se integre las tecnologías de la información como un proceso operativo mediante el cual se podrán identificar puntos críticos donde la entidad pueda identificar los riesgos relacionados a las tecnologías de la información y las comunicaciones. </t>
  </si>
  <si>
    <t>El Centro de Salud de Guachaves  E.S.E., ejecuta los Planes de mejora producto de las auditorías externas.</t>
  </si>
  <si>
    <t xml:space="preserve">El Centro de Salud de Guachaves  E.S.E, se encuentra en actualización de su manual de procesos y procedimientos el cual incluirá procedimientos que definan lineamientos para dar tratamiento a la información de carácter reservado de la institución y sus usuarios </t>
  </si>
  <si>
    <r>
      <t xml:space="preserve">El Centro de Salud de Guachaves  E.S.E., se encuentra en proceso de actualización del manual de proceso y procedimientos y pretende incluir un proceso mediante el cual se integre las tecnologías de la información como un proceso operativo de mejoramiento de </t>
    </r>
    <r>
      <rPr>
        <sz val="12"/>
        <color theme="1"/>
        <rFont val="Arial Narrow"/>
        <family val="2"/>
      </rPr>
      <t xml:space="preserve">capacidad e infraestructura tecnológica, </t>
    </r>
  </si>
  <si>
    <t>El Centro de Salud de Guachaves  E.S.E., cuenta con estos mecanismos de la gestión.</t>
  </si>
  <si>
    <t>Se adelanta seguimiento al cumplimiento de los planes de mejora arrojado de las auditorías externas realizadas por las diferentes entidades que ejercen el control el Centro de Salud de Guachaves  E.S.E</t>
  </si>
  <si>
    <t>El Centro de Salud de Guachaves  E.S.E., no participo porque no ha sido convocada.</t>
  </si>
  <si>
    <t>CENTRO DE SALUD DE GUACHAVES E.S.E.</t>
  </si>
  <si>
    <t xml:space="preserve">EL CENTRO DE SALUD DE GUACHAVES E.S.E, ha implementado las políticas y las Líneas de Defensa del MIPG (Modelo Integrado de Planeación y Gestión). </t>
  </si>
  <si>
    <t xml:space="preserve">EL CENTRO DE SALUD DE GUACHAVES E.S.E,, ha implementado las políticas y las Líneas de Defensa del MIPG (Modelo Integrado de Planeación y Gestión). </t>
  </si>
  <si>
    <t xml:space="preserve">DEBILIDADES: EEL CENTRO DE SALUD DE GUACHAVES E.S.E, no cuenta con procesos establecido de desvinculación de los servidores públicos de acuerdo al marco normativo que lo rige. 
FORTALEZAS: En el componente nos podemos dar cuenta que el Centro de Salud de Guachaves E.S.E., cuenta con el Plan Anticorrupción y Atención al Ciudadano, El Comité Institucional de Coordinación de Control Interno y el Código de Integridad actualizado, la Política de Administración del Riesgo, las Líneas de defensa y además se encuentra en proceso de actualización de sus procesos y procedimientos. </t>
  </si>
  <si>
    <t xml:space="preserve">FORTALEZA: En el Centro de Salud de Guachaves E.S.E., se seguirá implantado el modelo integrado de planeación y gestión – MIPG.  </t>
  </si>
  <si>
    <t xml:space="preserve">DEBILIDAD: El CENTRO DE SALUD DE GUACHAVES E.S.E., no tiene definidos en su totalidad lineamientos para dar tratamiento a la información de carácter reservado, tampoco tiene cuenta con la suficiente capacidad de infraestructura para las tecnologías de la animación y las comunicaciones.
FORTALEZA: El CENTRO DE SALUD DE GUACHAVES E.S.E., a través de la Información y Comunicación se logra dar a conocer la gestión institucional. 
Los funcionarios y contratistas conocen sus roles frente a la gestión de la E.S.E. garantizando la participación ciudadana en al acompañamiento de los diferentes procesos participativos. </t>
  </si>
  <si>
    <t xml:space="preserve">DEBILIIAD: El CENTRO DE SALUD DE GUACHAVES E.S.E. no ha participado en el Comité Municipal de Auditorias, porque no ha sido convocado en la presente vigencia. 
FORTALEZA: El CENTRO DE SALUD DE GUACHAVES E.S.E. cuenta con los mecanismos de evaluación necesarios para el correcto funcionamiento del modelo integrado de planeación y gestión – MIPG. </t>
  </si>
  <si>
    <t>El Centro de Salud de Guachaves  E.S.E., cuenta con los siguientes canales de comunicación o mecanismos de reporte de información: página web institucional la página Web https://www.eseguachaves.gov.co/.</t>
  </si>
  <si>
    <t xml:space="preserve">El Centro de Salud de Guachaves E.S.E., cuenta con los siguientes canales de comunicación con los ciudadanos:página Web https://www.eseguachaves.gov.co/, correo electrónico: eseguachaves@gmail.com, celular: 3113761965 y de manera presencial. </t>
  </si>
  <si>
    <t>El Centro de Salud de Guachaves  E.S.E., actualizo el Modelo Estándar de Control Interno - MECI, el cual se fundamentó en cinco componentes:  Ambiente de Control, Administración del Riesgo, Actividades de control, Información y Comunicación y Actividades de monitoreo,  adoptado mediante acto administrativo.</t>
  </si>
  <si>
    <t xml:space="preserve">En El Centro de Salud de Guachaves  E.S.E. Como empresa social del estado, los funcionarios en su mayoría tienen la calidad de trabajadores oficiales, Como trabajadores oficiales se acogen al Código Sustantivo del Trabajo, cinco (5) cargos de periodo, un (1) cargo de libre nombramiento y remoción y un (1) cargos de carrera administrativa que en el momento se encuentran en provisionalidad. </t>
  </si>
  <si>
    <t>El Centro de Salud de Guachaves  E.S.E., Se en encuentra en proceso de actualización del Manual de Procesos y Procedimientos que se llevo a cabo en la vigencia 2023.</t>
  </si>
  <si>
    <t>El Centro de Salud de Guachaves  E.S.E., cuenta con los mecanismos de rendición de cuentas para la ciudadanía y se ejecutan de acuerdo a lo contemplado en el Plan Anticorrupción y Atención al Ciudadano de la Empresa, vigencia 2024</t>
  </si>
  <si>
    <t xml:space="preserve">El Centro de Salud de Guachaves  E.S.E., tiene identificados los riesgos de posibles actos de corrupción, en el Plan Anticorrupción y Atención al Ciudadano vigencia 2024. </t>
  </si>
  <si>
    <t>El Centro de Salud de Guachaves  E.S.E., se actualizo la Política de Administración del Riesgo, para el periodo año 2024.</t>
  </si>
  <si>
    <t>El Centro de Salud de Guachaves  E.S.E, se actualizo la Política de Administración del Riesgo, para el periodo año 2024.</t>
  </si>
  <si>
    <t>El Centro de Salud de Guachaves  E.S.E., actualizo el Plan Anticorrupción y Atención al Ciudadano para el periodo 2024.</t>
  </si>
  <si>
    <t xml:space="preserve">El Centro de Salud de Guachaves  E.S.E., actualizo para el 2024 la Política de Gestión de la Información Estadística. </t>
  </si>
  <si>
    <t xml:space="preserve">El Centro de Salud de Guachaves  E.S.E, actualizo las Políticas de Gestión de la Información Estadística, Política de Transparencia, Acceso a la Información Pública y Lucha contra la Corrupción para el periodo 2024. </t>
  </si>
  <si>
    <t>El Centro de Salud San Sebastián E.S.E., actualizo las Políticas de Gestión de la Información Estadística, Política de Transparencia, Acceso a la Información Pública y Lucha contra la Corrupción para el periodo 2024.</t>
  </si>
  <si>
    <t>la oficina de Control Interno elabora el informe de medición del Estado del Sistema de Control Interno, con corte a 31 de diciembre de 2024.</t>
  </si>
  <si>
    <t>El Centro de Salud de Guachaves  E.S.E, actualizo  la Política de  administración del Riesgo, para el periodo 2024.</t>
  </si>
  <si>
    <t>El Centro de Salud de Guachaves  E.S.E., actualizo  la Política de  administración del Riesgo, para el periodo 2024.</t>
  </si>
  <si>
    <t>01 DE JUNIO A 31 DE DICIEMBRE 2023</t>
  </si>
  <si>
    <t>El encargado de control interno en el Centro de Salud de Guachaves E.S.E., con la presente evaluación del Sistema de Control Interno puede demostrar con la calificación obtenida sobre el estado del Sistema de Control Interno, un nivel de avance del 90%, en razón a que los diferentes componentes de Control Interno están funcionando de acuerdo a la evaluación realizada, donde el Ambiente de Control muestra un nivel de avance el 72%, Evaluación del Riesgo tiene un nivel de avance del 95%, las Actividades de Control el 100%, la Información y Comunicación del 86% y las actividades de Monitoreo del 90%, el Centro de Salud de Guachaves E.S.E., a seguirá mejorando continuamente durante esta vigencia 2024.</t>
  </si>
  <si>
    <t xml:space="preserve">DEBILIDAD:  En el Centro de Salud de Guachaves E.S.E., no se han identificado totalmente los cambios en el entorno que puedan generar consecuencias negativas en su gestión. 
FORTALEZA: El Centro de Salud de Guachaves E.S.E., tiene actualizados el Plan Anticorrupción y Atención al Ciudadano 2024, los Planes y la Política de administración del Riesgo y las líneas de defensa.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</si>
</sst>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9"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b/>
      <sz val="11"/>
      <color theme="1"/>
      <name val="Calibri"/>
      <family val="2"/>
      <scheme val="minor"/>
    </font>
    <font>
      <sz val="11"/>
      <color rgb="FF000000"/>
      <name val="Arial Narrow"/>
      <family val="2"/>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0">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43" fillId="0" borderId="3" xfId="0" applyFont="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locked="0"/>
    </xf>
    <xf numFmtId="0" fontId="43" fillId="0" borderId="2" xfId="0" applyFont="1" applyFill="1" applyBorder="1" applyAlignment="1" applyProtection="1">
      <alignment horizontal="center"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58" fillId="0" borderId="25" xfId="0" applyFont="1" applyBorder="1" applyAlignment="1" applyProtection="1">
      <alignment vertical="center" wrapText="1"/>
      <protection locked="0"/>
    </xf>
    <xf numFmtId="0" fontId="58" fillId="0" borderId="74" xfId="0" applyFont="1" applyBorder="1" applyAlignment="1" applyProtection="1">
      <alignment vertical="center" wrapText="1"/>
      <protection locked="0"/>
    </xf>
    <xf numFmtId="0" fontId="58" fillId="0" borderId="74" xfId="0" applyFont="1" applyFill="1" applyBorder="1" applyAlignment="1" applyProtection="1">
      <alignment vertical="center" wrapText="1"/>
      <protection locked="0"/>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7" fillId="4" borderId="2" xfId="0" applyNumberFormat="1" applyFont="1" applyFill="1" applyBorder="1" applyAlignment="1" applyProtection="1">
      <alignment horizontal="center" vertical="center" wrapText="1"/>
      <protection locked="0"/>
    </xf>
    <xf numFmtId="49" fontId="57" fillId="4" borderId="84" xfId="0" applyNumberFormat="1" applyFont="1" applyFill="1" applyBorder="1" applyAlignment="1" applyProtection="1">
      <alignment horizontal="center" vertical="center" wrapText="1"/>
      <protection locked="0"/>
    </xf>
    <xf numFmtId="49" fontId="57" fillId="4" borderId="3" xfId="0" applyNumberFormat="1" applyFont="1" applyFill="1" applyBorder="1" applyAlignment="1" applyProtection="1">
      <alignment horizontal="center" vertical="center" wrapText="1"/>
      <protection locked="0"/>
    </xf>
    <xf numFmtId="49" fontId="57" fillId="4" borderId="85" xfId="0" applyNumberFormat="1" applyFont="1" applyFill="1" applyBorder="1" applyAlignment="1" applyProtection="1">
      <alignment horizontal="center" vertical="center" wrapText="1"/>
      <protection locked="0"/>
    </xf>
    <xf numFmtId="49" fontId="57" fillId="4" borderId="4" xfId="0" applyNumberFormat="1" applyFont="1" applyFill="1" applyBorder="1" applyAlignment="1" applyProtection="1">
      <alignment horizontal="center" vertical="center" wrapText="1"/>
      <protection locked="0"/>
    </xf>
    <xf numFmtId="49" fontId="57" fillId="4" borderId="86" xfId="0" applyNumberFormat="1" applyFont="1" applyFill="1" applyBorder="1" applyAlignment="1" applyProtection="1">
      <alignment horizontal="center" vertical="center" wrapText="1"/>
      <protection locked="0"/>
    </xf>
    <xf numFmtId="0" fontId="57" fillId="0" borderId="24" xfId="0" applyFont="1" applyBorder="1" applyAlignment="1" applyProtection="1">
      <alignment horizontal="left" vertical="center" wrapText="1"/>
      <protection locked="0"/>
    </xf>
    <xf numFmtId="0" fontId="57" fillId="0" borderId="1" xfId="0" applyFont="1" applyBorder="1" applyAlignment="1" applyProtection="1">
      <alignment horizontal="left" vertical="center"/>
      <protection locked="0"/>
    </xf>
    <xf numFmtId="0" fontId="57" fillId="0" borderId="25" xfId="0" applyFont="1" applyBorder="1" applyAlignment="1" applyProtection="1">
      <alignment horizontal="left" vertical="center"/>
      <protection locked="0"/>
    </xf>
    <xf numFmtId="0" fontId="57" fillId="0" borderId="24" xfId="0" applyFont="1" applyBorder="1" applyAlignment="1" applyProtection="1">
      <alignment horizontal="left" vertical="center"/>
      <protection locked="0"/>
    </xf>
    <xf numFmtId="0" fontId="52" fillId="12" borderId="0" xfId="0" applyFont="1" applyFill="1" applyBorder="1" applyAlignment="1">
      <alignment horizontal="center" vertical="center" wrapText="1"/>
    </xf>
    <xf numFmtId="0" fontId="2" fillId="0" borderId="24"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protection locked="0"/>
    </xf>
    <xf numFmtId="0" fontId="2" fillId="0" borderId="25" xfId="0" applyFont="1" applyFill="1" applyBorder="1" applyAlignment="1" applyProtection="1">
      <alignment horizontal="left" vertical="center"/>
      <protection locked="0"/>
    </xf>
    <xf numFmtId="0" fontId="0" fillId="0" borderId="73" xfId="0" applyBorder="1" applyAlignment="1">
      <alignment horizontal="center"/>
    </xf>
    <xf numFmtId="0" fontId="57" fillId="0" borderId="1" xfId="0" applyFont="1" applyBorder="1" applyAlignment="1">
      <alignment horizontal="center"/>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22" zoomScale="90" zoomScaleNormal="90" workbookViewId="0">
      <selection activeCell="B6" sqref="B6:H7"/>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63" t="s">
        <v>0</v>
      </c>
      <c r="C2" s="164"/>
      <c r="D2" s="164"/>
      <c r="E2" s="164"/>
      <c r="F2" s="164"/>
      <c r="G2" s="164"/>
      <c r="H2" s="165"/>
    </row>
    <row r="3" spans="2:8" ht="65.25" customHeight="1" x14ac:dyDescent="0.2">
      <c r="B3" s="166" t="s">
        <v>1</v>
      </c>
      <c r="C3" s="167"/>
      <c r="D3" s="167"/>
      <c r="E3" s="167"/>
      <c r="F3" s="167"/>
      <c r="G3" s="167"/>
      <c r="H3" s="168"/>
    </row>
    <row r="4" spans="2:8" ht="82.5" customHeight="1" x14ac:dyDescent="0.2">
      <c r="B4" s="166"/>
      <c r="C4" s="167"/>
      <c r="D4" s="167"/>
      <c r="E4" s="167"/>
      <c r="F4" s="167"/>
      <c r="G4" s="167"/>
      <c r="H4" s="168"/>
    </row>
    <row r="5" spans="2:8" ht="21.75" customHeight="1" x14ac:dyDescent="0.2">
      <c r="B5" s="169" t="s">
        <v>2</v>
      </c>
      <c r="C5" s="170"/>
      <c r="D5" s="170"/>
      <c r="E5" s="170"/>
      <c r="F5" s="170"/>
      <c r="G5" s="170"/>
      <c r="H5" s="171"/>
    </row>
    <row r="6" spans="2:8" ht="42" customHeight="1" x14ac:dyDescent="0.2">
      <c r="B6" s="172" t="s">
        <v>3</v>
      </c>
      <c r="C6" s="173"/>
      <c r="D6" s="173"/>
      <c r="E6" s="173"/>
      <c r="F6" s="173"/>
      <c r="G6" s="173"/>
      <c r="H6" s="174"/>
    </row>
    <row r="7" spans="2:8" ht="14.25" customHeight="1" x14ac:dyDescent="0.2">
      <c r="B7" s="172"/>
      <c r="C7" s="173"/>
      <c r="D7" s="173"/>
      <c r="E7" s="173"/>
      <c r="F7" s="173"/>
      <c r="G7" s="173"/>
      <c r="H7" s="174"/>
    </row>
    <row r="8" spans="2:8" ht="12.75" customHeight="1" thickBot="1" x14ac:dyDescent="0.25">
      <c r="B8" s="57"/>
      <c r="C8" s="51"/>
      <c r="D8" s="67"/>
      <c r="E8" s="68"/>
      <c r="F8" s="68"/>
      <c r="G8" s="65"/>
      <c r="H8" s="66"/>
    </row>
    <row r="9" spans="2:8" ht="21" customHeight="1" thickTop="1" x14ac:dyDescent="0.2">
      <c r="B9" s="57"/>
      <c r="C9" s="175" t="s">
        <v>4</v>
      </c>
      <c r="D9" s="176"/>
      <c r="E9" s="177" t="s">
        <v>5</v>
      </c>
      <c r="F9" s="178"/>
      <c r="G9" s="51"/>
      <c r="H9" s="59"/>
    </row>
    <row r="10" spans="2:8" ht="37.5" customHeight="1" x14ac:dyDescent="0.2">
      <c r="B10" s="57"/>
      <c r="C10" s="179" t="s">
        <v>6</v>
      </c>
      <c r="D10" s="180"/>
      <c r="E10" s="181" t="s">
        <v>7</v>
      </c>
      <c r="F10" s="182"/>
      <c r="G10" s="51"/>
      <c r="H10" s="59"/>
    </row>
    <row r="11" spans="2:8" ht="39.75" customHeight="1" x14ac:dyDescent="0.2">
      <c r="B11" s="57"/>
      <c r="C11" s="183" t="s">
        <v>8</v>
      </c>
      <c r="D11" s="184"/>
      <c r="E11" s="185" t="s">
        <v>9</v>
      </c>
      <c r="F11" s="186"/>
      <c r="G11" s="51"/>
      <c r="H11" s="59"/>
    </row>
    <row r="12" spans="2:8" ht="59.25" customHeight="1" x14ac:dyDescent="0.2">
      <c r="B12" s="57"/>
      <c r="C12" s="183" t="s">
        <v>10</v>
      </c>
      <c r="D12" s="184"/>
      <c r="E12" s="187" t="s">
        <v>11</v>
      </c>
      <c r="F12" s="188"/>
      <c r="G12" s="51"/>
      <c r="H12" s="59"/>
    </row>
    <row r="13" spans="2:8" ht="33.75" customHeight="1" x14ac:dyDescent="0.2">
      <c r="B13" s="57"/>
      <c r="C13" s="193" t="s">
        <v>12</v>
      </c>
      <c r="D13" s="194"/>
      <c r="E13" s="185" t="s">
        <v>13</v>
      </c>
      <c r="F13" s="186"/>
      <c r="G13" s="51"/>
      <c r="H13" s="59"/>
    </row>
    <row r="14" spans="2:8" ht="19.5" customHeight="1" x14ac:dyDescent="0.2">
      <c r="B14" s="57"/>
      <c r="C14" s="63"/>
      <c r="D14" s="63"/>
      <c r="E14" s="64"/>
      <c r="F14" s="64"/>
      <c r="G14" s="51"/>
      <c r="H14" s="59"/>
    </row>
    <row r="15" spans="2:8" ht="37.5" customHeight="1" thickBot="1" x14ac:dyDescent="0.25">
      <c r="B15" s="189" t="s">
        <v>14</v>
      </c>
      <c r="C15" s="190"/>
      <c r="D15" s="190"/>
      <c r="E15" s="190"/>
      <c r="F15" s="190"/>
      <c r="G15" s="190"/>
      <c r="H15" s="191"/>
    </row>
    <row r="16" spans="2:8" ht="27.75" customHeight="1" thickBot="1" x14ac:dyDescent="0.25">
      <c r="B16" s="57"/>
      <c r="C16" s="195" t="s">
        <v>15</v>
      </c>
      <c r="D16" s="196"/>
      <c r="E16" s="196" t="s">
        <v>16</v>
      </c>
      <c r="F16" s="207"/>
      <c r="G16" s="51"/>
      <c r="H16" s="59"/>
    </row>
    <row r="17" spans="2:8" ht="27.75" customHeight="1" x14ac:dyDescent="0.2">
      <c r="B17" s="57"/>
      <c r="C17" s="208" t="s">
        <v>17</v>
      </c>
      <c r="D17" s="209"/>
      <c r="E17" s="210" t="s">
        <v>18</v>
      </c>
      <c r="F17" s="211"/>
      <c r="G17" s="101"/>
      <c r="H17" s="59"/>
    </row>
    <row r="18" spans="2:8" ht="41.25" customHeight="1" x14ac:dyDescent="0.2">
      <c r="B18" s="57"/>
      <c r="C18" s="197" t="s">
        <v>19</v>
      </c>
      <c r="D18" s="198"/>
      <c r="E18" s="199" t="s">
        <v>20</v>
      </c>
      <c r="F18" s="200"/>
      <c r="G18" s="102"/>
      <c r="H18" s="59"/>
    </row>
    <row r="19" spans="2:8" ht="37.5" customHeight="1" thickBot="1" x14ac:dyDescent="0.25">
      <c r="B19" s="57"/>
      <c r="C19" s="201" t="s">
        <v>21</v>
      </c>
      <c r="D19" s="202"/>
      <c r="E19" s="203" t="s">
        <v>22</v>
      </c>
      <c r="F19" s="204"/>
      <c r="G19" s="102"/>
      <c r="H19" s="59"/>
    </row>
    <row r="20" spans="2:8" ht="11.25" customHeight="1" x14ac:dyDescent="0.2">
      <c r="B20" s="52"/>
      <c r="C20" s="53"/>
      <c r="D20" s="53"/>
      <c r="E20" s="53"/>
      <c r="F20" s="53"/>
      <c r="G20" s="53"/>
      <c r="H20" s="54"/>
    </row>
    <row r="21" spans="2:8" ht="14.25" customHeight="1" x14ac:dyDescent="0.2">
      <c r="B21" s="55"/>
      <c r="C21" s="205"/>
      <c r="D21" s="205"/>
      <c r="E21" s="206"/>
      <c r="F21" s="206"/>
      <c r="G21" s="206"/>
      <c r="H21" s="56"/>
    </row>
    <row r="22" spans="2:8" ht="36" customHeight="1" x14ac:dyDescent="0.2">
      <c r="B22" s="189" t="s">
        <v>23</v>
      </c>
      <c r="C22" s="190"/>
      <c r="D22" s="190"/>
      <c r="E22" s="190"/>
      <c r="F22" s="190"/>
      <c r="G22" s="190"/>
      <c r="H22" s="191"/>
    </row>
    <row r="23" spans="2:8" ht="13.5" x14ac:dyDescent="0.2">
      <c r="B23" s="57"/>
      <c r="C23" s="58"/>
      <c r="D23" s="58"/>
      <c r="E23" s="192"/>
      <c r="F23" s="192"/>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C57" zoomScale="80" zoomScaleNormal="80" workbookViewId="0">
      <selection activeCell="H61" sqref="H61"/>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25">
      <c r="B14" s="243" t="s">
        <v>24</v>
      </c>
      <c r="C14" s="243"/>
      <c r="D14" s="243"/>
      <c r="E14" s="243"/>
      <c r="F14" s="243"/>
      <c r="G14" s="243"/>
      <c r="H14" s="243"/>
      <c r="I14" s="243"/>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thickBot="1" x14ac:dyDescent="0.3">
      <c r="A16" s="103" t="str">
        <f>1&amp;E16</f>
        <v>1a</v>
      </c>
      <c r="B16" s="254" t="s">
        <v>31</v>
      </c>
      <c r="C16" s="218" t="s">
        <v>32</v>
      </c>
      <c r="D16" s="251" t="s">
        <v>33</v>
      </c>
      <c r="E16" s="81" t="s">
        <v>34</v>
      </c>
      <c r="F16" s="82" t="s">
        <v>35</v>
      </c>
      <c r="G16" s="112" t="s">
        <v>39</v>
      </c>
      <c r="H16" s="160" t="s">
        <v>219</v>
      </c>
      <c r="I16" s="104" t="str">
        <f>+IF(G16="Si","Mantenimiento del control",IF(G16="En proceso","Oportunidad de mejora","Deficiencia de control"))</f>
        <v>Mantenimiento del control</v>
      </c>
      <c r="J16" s="105">
        <f t="shared" ref="J16:J27" si="0">+IF(G16="Si",20,IF(G16="En proceso",10,0))</f>
        <v>20</v>
      </c>
      <c r="K16" s="105">
        <v>0.123</v>
      </c>
      <c r="L16" s="105">
        <f>+J16+K16</f>
        <v>20.123000000000001</v>
      </c>
    </row>
    <row r="17" spans="1:32" s="49" customFormat="1" ht="83.25" thickBot="1" x14ac:dyDescent="0.3">
      <c r="A17" s="103" t="str">
        <f t="shared" ref="A17:A27" si="1">1&amp;E17</f>
        <v>1b</v>
      </c>
      <c r="B17" s="255"/>
      <c r="C17" s="219"/>
      <c r="D17" s="252"/>
      <c r="E17" s="83" t="s">
        <v>37</v>
      </c>
      <c r="F17" s="84" t="s">
        <v>38</v>
      </c>
      <c r="G17" s="114" t="s">
        <v>39</v>
      </c>
      <c r="H17" s="161" t="s">
        <v>195</v>
      </c>
      <c r="I17" s="106" t="str">
        <f t="shared" ref="I17:I59" si="2">+IF(G17="Si","Mantenimiento del control",IF(G17="En proceso","Oportunidad de mejora","Deficiencia de control"))</f>
        <v>Mantenimiento del control</v>
      </c>
      <c r="J17" s="107">
        <f t="shared" si="0"/>
        <v>20</v>
      </c>
      <c r="K17" s="105">
        <v>0.1234</v>
      </c>
      <c r="L17" s="105">
        <f t="shared" ref="L17:L59" si="3">+J17+K17</f>
        <v>20.1234</v>
      </c>
    </row>
    <row r="18" spans="1:32" s="49" customFormat="1" ht="64.5" customHeight="1" thickBot="1" x14ac:dyDescent="0.3">
      <c r="A18" s="103" t="str">
        <f t="shared" si="1"/>
        <v>1c</v>
      </c>
      <c r="B18" s="255"/>
      <c r="C18" s="219"/>
      <c r="D18" s="252"/>
      <c r="E18" s="83" t="s">
        <v>40</v>
      </c>
      <c r="F18" s="85" t="s">
        <v>41</v>
      </c>
      <c r="G18" s="115" t="s">
        <v>39</v>
      </c>
      <c r="H18" s="161" t="s">
        <v>196</v>
      </c>
      <c r="I18" s="108" t="str">
        <f t="shared" si="2"/>
        <v>Mantenimiento del control</v>
      </c>
      <c r="J18" s="107">
        <f t="shared" si="0"/>
        <v>20</v>
      </c>
      <c r="K18" s="105">
        <v>0.12345</v>
      </c>
      <c r="L18" s="105">
        <f t="shared" si="3"/>
        <v>20.123449999999998</v>
      </c>
    </row>
    <row r="19" spans="1:32" s="49" customFormat="1" ht="37.5" customHeight="1" thickBot="1" x14ac:dyDescent="0.3">
      <c r="A19" s="103" t="str">
        <f t="shared" si="1"/>
        <v>1d</v>
      </c>
      <c r="B19" s="255"/>
      <c r="C19" s="219"/>
      <c r="D19" s="252"/>
      <c r="E19" s="83" t="s">
        <v>42</v>
      </c>
      <c r="F19" s="85" t="s">
        <v>43</v>
      </c>
      <c r="G19" s="115" t="s">
        <v>39</v>
      </c>
      <c r="H19" s="161" t="s">
        <v>197</v>
      </c>
      <c r="I19" s="108" t="str">
        <f t="shared" si="2"/>
        <v>Mantenimiento del control</v>
      </c>
      <c r="J19" s="107">
        <f t="shared" si="0"/>
        <v>20</v>
      </c>
      <c r="K19" s="105">
        <v>0.123456</v>
      </c>
      <c r="L19" s="105">
        <f t="shared" si="3"/>
        <v>20.123456000000001</v>
      </c>
    </row>
    <row r="20" spans="1:32" s="49" customFormat="1" ht="37.5" customHeight="1" thickBot="1" x14ac:dyDescent="0.3">
      <c r="A20" s="103" t="str">
        <f t="shared" si="1"/>
        <v>1e</v>
      </c>
      <c r="B20" s="255"/>
      <c r="C20" s="219"/>
      <c r="D20" s="252"/>
      <c r="E20" s="83" t="s">
        <v>44</v>
      </c>
      <c r="F20" s="85" t="s">
        <v>45</v>
      </c>
      <c r="G20" s="115" t="s">
        <v>39</v>
      </c>
      <c r="H20" s="161" t="s">
        <v>198</v>
      </c>
      <c r="I20" s="108" t="str">
        <f t="shared" si="2"/>
        <v>Mantenimiento del control</v>
      </c>
      <c r="J20" s="107">
        <f t="shared" si="0"/>
        <v>20</v>
      </c>
      <c r="K20" s="105">
        <v>0.12345678</v>
      </c>
      <c r="L20" s="105">
        <f t="shared" si="3"/>
        <v>20.123456780000001</v>
      </c>
    </row>
    <row r="21" spans="1:32" s="49" customFormat="1" ht="63.75" customHeight="1" thickBot="1" x14ac:dyDescent="0.3">
      <c r="A21" s="103" t="str">
        <f t="shared" si="1"/>
        <v>1f</v>
      </c>
      <c r="B21" s="255"/>
      <c r="C21" s="219"/>
      <c r="D21" s="252"/>
      <c r="E21" s="83" t="s">
        <v>46</v>
      </c>
      <c r="F21" s="85" t="s">
        <v>47</v>
      </c>
      <c r="G21" s="115" t="s">
        <v>76</v>
      </c>
      <c r="H21" s="161" t="s">
        <v>221</v>
      </c>
      <c r="I21" s="108" t="str">
        <f t="shared" si="2"/>
        <v>Oportunidad de mejora</v>
      </c>
      <c r="J21" s="107">
        <f t="shared" si="0"/>
        <v>10</v>
      </c>
      <c r="K21" s="105">
        <v>0.123456789</v>
      </c>
      <c r="L21" s="105">
        <f t="shared" si="3"/>
        <v>10.123456789</v>
      </c>
    </row>
    <row r="22" spans="1:32" s="49" customFormat="1" ht="65.25" customHeight="1" thickBot="1" x14ac:dyDescent="0.3">
      <c r="A22" s="103" t="str">
        <f t="shared" si="1"/>
        <v>1g</v>
      </c>
      <c r="B22" s="255"/>
      <c r="C22" s="219"/>
      <c r="D22" s="252"/>
      <c r="E22" s="83" t="s">
        <v>48</v>
      </c>
      <c r="F22" s="85" t="s">
        <v>49</v>
      </c>
      <c r="G22" s="115" t="s">
        <v>39</v>
      </c>
      <c r="H22" s="161" t="s">
        <v>220</v>
      </c>
      <c r="I22" s="108" t="str">
        <f t="shared" si="2"/>
        <v>Mantenimiento del control</v>
      </c>
      <c r="J22" s="107">
        <f t="shared" si="0"/>
        <v>20</v>
      </c>
      <c r="K22" s="105">
        <v>0.12345678910000001</v>
      </c>
      <c r="L22" s="105">
        <f t="shared" si="3"/>
        <v>20.1234567891</v>
      </c>
    </row>
    <row r="23" spans="1:32" s="49" customFormat="1" ht="62.25" customHeight="1" thickBot="1" x14ac:dyDescent="0.3">
      <c r="A23" s="103" t="str">
        <f t="shared" si="1"/>
        <v>1h</v>
      </c>
      <c r="B23" s="255"/>
      <c r="C23" s="219"/>
      <c r="D23" s="252"/>
      <c r="E23" s="83" t="s">
        <v>50</v>
      </c>
      <c r="F23" s="85" t="s">
        <v>51</v>
      </c>
      <c r="G23" s="115" t="s">
        <v>76</v>
      </c>
      <c r="H23" s="161" t="s">
        <v>201</v>
      </c>
      <c r="I23" s="108" t="str">
        <f t="shared" si="2"/>
        <v>Oportunidad de mejora</v>
      </c>
      <c r="J23" s="107">
        <f t="shared" si="0"/>
        <v>10</v>
      </c>
      <c r="K23" s="105">
        <v>0.12345678911999999</v>
      </c>
      <c r="L23" s="105">
        <f t="shared" si="3"/>
        <v>10.12345678912</v>
      </c>
    </row>
    <row r="24" spans="1:32" s="49" customFormat="1" ht="57.75" customHeight="1" thickBot="1" x14ac:dyDescent="0.3">
      <c r="A24" s="103" t="str">
        <f t="shared" si="1"/>
        <v>1i</v>
      </c>
      <c r="B24" s="255"/>
      <c r="C24" s="219"/>
      <c r="D24" s="252"/>
      <c r="E24" s="83" t="s">
        <v>52</v>
      </c>
      <c r="F24" s="85" t="s">
        <v>53</v>
      </c>
      <c r="G24" s="115" t="s">
        <v>36</v>
      </c>
      <c r="H24" s="161" t="s">
        <v>202</v>
      </c>
      <c r="I24" s="108" t="str">
        <f t="shared" si="2"/>
        <v>Deficiencia de control</v>
      </c>
      <c r="J24" s="107">
        <f t="shared" si="0"/>
        <v>0</v>
      </c>
      <c r="K24" s="105">
        <v>0.123456789123</v>
      </c>
      <c r="L24" s="105">
        <f t="shared" si="3"/>
        <v>0.123456789123</v>
      </c>
    </row>
    <row r="25" spans="1:32" s="49" customFormat="1" ht="81.75" customHeight="1" thickBot="1" x14ac:dyDescent="0.3">
      <c r="A25" s="103" t="str">
        <f t="shared" si="1"/>
        <v>1j</v>
      </c>
      <c r="B25" s="255"/>
      <c r="C25" s="219"/>
      <c r="D25" s="252"/>
      <c r="E25" s="83" t="s">
        <v>54</v>
      </c>
      <c r="F25" s="85" t="s">
        <v>55</v>
      </c>
      <c r="G25" s="115" t="s">
        <v>76</v>
      </c>
      <c r="H25" s="161" t="s">
        <v>199</v>
      </c>
      <c r="I25" s="108" t="str">
        <f t="shared" si="2"/>
        <v>Oportunidad de mejora</v>
      </c>
      <c r="J25" s="107">
        <f t="shared" si="0"/>
        <v>10</v>
      </c>
      <c r="K25" s="105">
        <v>0.1234567891234</v>
      </c>
      <c r="L25" s="105">
        <f t="shared" si="3"/>
        <v>10.1234567891234</v>
      </c>
    </row>
    <row r="26" spans="1:32" s="49" customFormat="1" ht="42" customHeight="1" thickBot="1" x14ac:dyDescent="0.3">
      <c r="A26" s="103" t="str">
        <f t="shared" si="1"/>
        <v>1k</v>
      </c>
      <c r="B26" s="255"/>
      <c r="C26" s="219"/>
      <c r="D26" s="252"/>
      <c r="E26" s="83" t="s">
        <v>56</v>
      </c>
      <c r="F26" s="85" t="s">
        <v>57</v>
      </c>
      <c r="G26" s="115" t="s">
        <v>39</v>
      </c>
      <c r="H26" s="161" t="s">
        <v>222</v>
      </c>
      <c r="I26" s="108" t="str">
        <f t="shared" si="2"/>
        <v>Mantenimiento del control</v>
      </c>
      <c r="J26" s="107">
        <f t="shared" si="0"/>
        <v>20</v>
      </c>
      <c r="K26" s="105">
        <v>0.12345678912345</v>
      </c>
      <c r="L26" s="105">
        <f t="shared" si="3"/>
        <v>20.123456789123448</v>
      </c>
    </row>
    <row r="27" spans="1:32" s="49" customFormat="1" ht="99.75" thickBot="1" x14ac:dyDescent="0.3">
      <c r="A27" s="103" t="str">
        <f t="shared" si="1"/>
        <v>1l</v>
      </c>
      <c r="B27" s="256"/>
      <c r="C27" s="220"/>
      <c r="D27" s="253"/>
      <c r="E27" s="86" t="s">
        <v>58</v>
      </c>
      <c r="F27" s="87" t="s">
        <v>59</v>
      </c>
      <c r="G27" s="116" t="s">
        <v>39</v>
      </c>
      <c r="H27" s="161" t="s">
        <v>200</v>
      </c>
      <c r="I27" s="109" t="str">
        <f t="shared" si="2"/>
        <v>Mantenimiento del control</v>
      </c>
      <c r="J27" s="107">
        <f t="shared" si="0"/>
        <v>20</v>
      </c>
      <c r="K27" s="105">
        <v>0.12345678912345601</v>
      </c>
      <c r="L27" s="105">
        <f t="shared" si="3"/>
        <v>20.123456789123455</v>
      </c>
    </row>
    <row r="28" spans="1:32" s="49" customFormat="1" ht="44.25" customHeight="1" thickBot="1" x14ac:dyDescent="0.3">
      <c r="A28" s="103" t="str">
        <f>2&amp;E28</f>
        <v>2a</v>
      </c>
      <c r="B28" s="257" t="s">
        <v>60</v>
      </c>
      <c r="C28" s="221" t="s">
        <v>61</v>
      </c>
      <c r="D28" s="260" t="s">
        <v>62</v>
      </c>
      <c r="E28" s="81" t="s">
        <v>34</v>
      </c>
      <c r="F28" s="82" t="s">
        <v>63</v>
      </c>
      <c r="G28" s="112" t="s">
        <v>39</v>
      </c>
      <c r="H28" s="161" t="s">
        <v>191</v>
      </c>
      <c r="I28" s="104" t="str">
        <f t="shared" si="2"/>
        <v>Mantenimiento del control</v>
      </c>
      <c r="J28" s="105">
        <f>+IF(G28="Si",40,IF(G28="En proceso",30,20))</f>
        <v>40</v>
      </c>
      <c r="K28" s="105">
        <v>0.23</v>
      </c>
      <c r="L28" s="105">
        <f t="shared" si="3"/>
        <v>40.229999999999997</v>
      </c>
    </row>
    <row r="29" spans="1:32" s="49" customFormat="1" ht="83.25" thickBot="1" x14ac:dyDescent="0.3">
      <c r="A29" s="103" t="str">
        <f t="shared" ref="A29:A31" si="4">2&amp;E29</f>
        <v>2b</v>
      </c>
      <c r="B29" s="258"/>
      <c r="C29" s="222"/>
      <c r="D29" s="236"/>
      <c r="E29" s="83" t="s">
        <v>37</v>
      </c>
      <c r="F29" s="85" t="s">
        <v>64</v>
      </c>
      <c r="G29" s="115" t="s">
        <v>39</v>
      </c>
      <c r="H29" s="161" t="s">
        <v>192</v>
      </c>
      <c r="I29" s="108" t="str">
        <f t="shared" si="2"/>
        <v>Mantenimiento del control</v>
      </c>
      <c r="J29" s="105">
        <f>+IF(G29="Si",40,IF(G29="En proceso",30,20))</f>
        <v>40</v>
      </c>
      <c r="K29" s="105">
        <v>0.23400000000000001</v>
      </c>
      <c r="L29" s="105">
        <f t="shared" si="3"/>
        <v>40.234000000000002</v>
      </c>
    </row>
    <row r="30" spans="1:32" s="49" customFormat="1" ht="66.75" thickBot="1" x14ac:dyDescent="0.3">
      <c r="A30" s="103" t="str">
        <f t="shared" si="4"/>
        <v>2c</v>
      </c>
      <c r="B30" s="258"/>
      <c r="C30" s="222"/>
      <c r="D30" s="236"/>
      <c r="E30" s="83" t="s">
        <v>40</v>
      </c>
      <c r="F30" s="85" t="s">
        <v>65</v>
      </c>
      <c r="G30" s="115" t="s">
        <v>39</v>
      </c>
      <c r="H30" s="161" t="s">
        <v>223</v>
      </c>
      <c r="I30" s="108" t="str">
        <f t="shared" si="2"/>
        <v>Mantenimiento del control</v>
      </c>
      <c r="J30" s="105">
        <f>+IF(G30="Si",40,IF(G30="En proceso",30,20))</f>
        <v>40</v>
      </c>
      <c r="K30" s="105">
        <v>0.23449999999999999</v>
      </c>
      <c r="L30" s="105">
        <f t="shared" si="3"/>
        <v>40.234499999999997</v>
      </c>
    </row>
    <row r="31" spans="1:32" s="49" customFormat="1" ht="149.25" thickBot="1" x14ac:dyDescent="0.3">
      <c r="A31" s="103" t="str">
        <f t="shared" si="4"/>
        <v>2d</v>
      </c>
      <c r="B31" s="259"/>
      <c r="C31" s="223"/>
      <c r="D31" s="261"/>
      <c r="E31" s="86" t="s">
        <v>42</v>
      </c>
      <c r="F31" s="87" t="s">
        <v>66</v>
      </c>
      <c r="G31" s="116" t="s">
        <v>76</v>
      </c>
      <c r="H31" s="161" t="s">
        <v>203</v>
      </c>
      <c r="I31" s="109" t="str">
        <f t="shared" si="2"/>
        <v>Oportunidad de mejora</v>
      </c>
      <c r="J31" s="105">
        <f>+IF(G31="Si",40,IF(G31="En proceso",30,20))</f>
        <v>30</v>
      </c>
      <c r="K31" s="105">
        <v>0.23455999999999999</v>
      </c>
      <c r="L31" s="105">
        <f t="shared" si="3"/>
        <v>30.234559999999998</v>
      </c>
    </row>
    <row r="32" spans="1:32" s="49" customFormat="1" ht="49.5" customHeight="1" thickBot="1" x14ac:dyDescent="0.3">
      <c r="A32" s="103" t="str">
        <f>3&amp;E32</f>
        <v>3a</v>
      </c>
      <c r="B32" s="233" t="s">
        <v>67</v>
      </c>
      <c r="C32" s="233" t="s">
        <v>61</v>
      </c>
      <c r="D32" s="234" t="s">
        <v>68</v>
      </c>
      <c r="E32" s="88" t="s">
        <v>34</v>
      </c>
      <c r="F32" s="85" t="s">
        <v>69</v>
      </c>
      <c r="G32" s="115" t="s">
        <v>39</v>
      </c>
      <c r="H32" s="161" t="s">
        <v>224</v>
      </c>
      <c r="I32" s="108" t="str">
        <f t="shared" si="2"/>
        <v>Mantenimiento del control</v>
      </c>
      <c r="J32" s="105">
        <f t="shared" ref="J32:J37" si="5">+IF(G32="Si",40,IF(G32="En proceso",30,20))</f>
        <v>40</v>
      </c>
      <c r="K32" s="110">
        <v>0.234567</v>
      </c>
      <c r="L32" s="105">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thickBot="1" x14ac:dyDescent="0.3">
      <c r="A33" s="103" t="str">
        <f t="shared" ref="A33:A34" si="7">3&amp;E33</f>
        <v>3b</v>
      </c>
      <c r="B33" s="233"/>
      <c r="C33" s="233"/>
      <c r="D33" s="234"/>
      <c r="E33" s="88" t="s">
        <v>37</v>
      </c>
      <c r="F33" s="85" t="s">
        <v>70</v>
      </c>
      <c r="G33" s="115" t="s">
        <v>39</v>
      </c>
      <c r="H33" s="161" t="s">
        <v>225</v>
      </c>
      <c r="I33" s="108" t="str">
        <f t="shared" si="2"/>
        <v>Mantenimiento del control</v>
      </c>
      <c r="J33" s="105">
        <f t="shared" si="5"/>
        <v>40</v>
      </c>
      <c r="K33" s="110">
        <v>0.23456779999999999</v>
      </c>
      <c r="L33" s="105">
        <f t="shared" si="6"/>
        <v>40.234567800000001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x14ac:dyDescent="0.3">
      <c r="A34" s="103" t="str">
        <f t="shared" si="7"/>
        <v>3c</v>
      </c>
      <c r="B34" s="233"/>
      <c r="C34" s="233"/>
      <c r="D34" s="234"/>
      <c r="E34" s="88" t="s">
        <v>40</v>
      </c>
      <c r="F34" s="85" t="s">
        <v>71</v>
      </c>
      <c r="G34" s="115" t="s">
        <v>39</v>
      </c>
      <c r="H34" s="161" t="s">
        <v>224</v>
      </c>
      <c r="I34" s="108" t="str">
        <f t="shared" si="2"/>
        <v>Mantenimiento del control</v>
      </c>
      <c r="J34" s="105">
        <f t="shared" si="5"/>
        <v>40</v>
      </c>
      <c r="K34" s="110">
        <v>0.23456789</v>
      </c>
      <c r="L34" s="105">
        <f t="shared" si="6"/>
        <v>40.234567890000001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60.75" customHeight="1" thickBot="1" x14ac:dyDescent="0.3">
      <c r="A35" s="103" t="str">
        <f>4&amp;E35</f>
        <v>4a</v>
      </c>
      <c r="B35" s="235" t="s">
        <v>72</v>
      </c>
      <c r="C35" s="222" t="s">
        <v>61</v>
      </c>
      <c r="D35" s="236" t="s">
        <v>73</v>
      </c>
      <c r="E35" s="81" t="s">
        <v>34</v>
      </c>
      <c r="F35" s="82" t="s">
        <v>74</v>
      </c>
      <c r="G35" s="112" t="s">
        <v>39</v>
      </c>
      <c r="H35" s="161" t="s">
        <v>193</v>
      </c>
      <c r="I35" s="104" t="str">
        <f t="shared" si="2"/>
        <v>Mantenimiento del control</v>
      </c>
      <c r="J35" s="105">
        <f t="shared" si="5"/>
        <v>40</v>
      </c>
      <c r="K35" s="110">
        <v>0.23456789119999999</v>
      </c>
      <c r="L35" s="105">
        <f t="shared" si="6"/>
        <v>40.234567891200001</v>
      </c>
      <c r="M35" s="48"/>
      <c r="N35" s="48"/>
      <c r="O35" s="48"/>
      <c r="P35" s="48"/>
      <c r="Q35" s="48"/>
    </row>
    <row r="36" spans="1:32" s="49" customFormat="1" ht="57.75" customHeight="1" thickBot="1" x14ac:dyDescent="0.3">
      <c r="A36" s="103" t="str">
        <f t="shared" ref="A36:A37" si="8">4&amp;E36</f>
        <v>4b</v>
      </c>
      <c r="B36" s="235"/>
      <c r="C36" s="222"/>
      <c r="D36" s="236"/>
      <c r="E36" s="83" t="s">
        <v>37</v>
      </c>
      <c r="F36" s="85" t="s">
        <v>75</v>
      </c>
      <c r="G36" s="115" t="s">
        <v>39</v>
      </c>
      <c r="H36" s="161" t="s">
        <v>224</v>
      </c>
      <c r="I36" s="108" t="str">
        <f t="shared" si="2"/>
        <v>Mantenimiento del control</v>
      </c>
      <c r="J36" s="105">
        <f t="shared" si="5"/>
        <v>40</v>
      </c>
      <c r="K36" s="110">
        <v>0.23456789122999999</v>
      </c>
      <c r="L36" s="105">
        <f t="shared" si="6"/>
        <v>40.23456789123</v>
      </c>
      <c r="M36" s="48"/>
      <c r="N36" s="48"/>
      <c r="O36" s="48"/>
      <c r="P36" s="48"/>
      <c r="Q36" s="48"/>
    </row>
    <row r="37" spans="1:32" s="49" customFormat="1" ht="49.5" customHeight="1" thickBot="1" x14ac:dyDescent="0.3">
      <c r="A37" s="103" t="str">
        <f t="shared" si="8"/>
        <v>4c</v>
      </c>
      <c r="B37" s="235"/>
      <c r="C37" s="222"/>
      <c r="D37" s="236"/>
      <c r="E37" s="83" t="s">
        <v>40</v>
      </c>
      <c r="F37" s="85" t="s">
        <v>77</v>
      </c>
      <c r="G37" s="115" t="s">
        <v>39</v>
      </c>
      <c r="H37" s="161" t="s">
        <v>204</v>
      </c>
      <c r="I37" s="108" t="str">
        <f t="shared" si="2"/>
        <v>Mantenimiento del control</v>
      </c>
      <c r="J37" s="105">
        <f t="shared" si="5"/>
        <v>40</v>
      </c>
      <c r="K37" s="110">
        <v>0.23456789123399999</v>
      </c>
      <c r="L37" s="105">
        <f t="shared" si="6"/>
        <v>40.234567891234001</v>
      </c>
      <c r="M37" s="48"/>
      <c r="N37" s="48"/>
      <c r="O37" s="48"/>
      <c r="P37" s="48"/>
      <c r="Q37" s="48"/>
    </row>
    <row r="38" spans="1:32" s="49" customFormat="1" ht="85.5" customHeight="1" thickBot="1" x14ac:dyDescent="0.3">
      <c r="A38" s="103" t="str">
        <f>5&amp;E38</f>
        <v>5a</v>
      </c>
      <c r="B38" s="237" t="s">
        <v>78</v>
      </c>
      <c r="C38" s="224" t="s">
        <v>79</v>
      </c>
      <c r="D38" s="240" t="s">
        <v>80</v>
      </c>
      <c r="E38" s="81" t="s">
        <v>34</v>
      </c>
      <c r="F38" s="89" t="s">
        <v>81</v>
      </c>
      <c r="G38" s="117" t="s">
        <v>39</v>
      </c>
      <c r="H38" s="161" t="s">
        <v>225</v>
      </c>
      <c r="I38" s="111" t="str">
        <f t="shared" si="2"/>
        <v>Mantenimiento del control</v>
      </c>
      <c r="J38" s="105">
        <f>+IF(G38="Si",60,IF(G38="En proceso",50,40))</f>
        <v>60</v>
      </c>
      <c r="K38" s="105">
        <v>0.31</v>
      </c>
      <c r="L38" s="105">
        <f t="shared" si="3"/>
        <v>60.31</v>
      </c>
    </row>
    <row r="39" spans="1:32" s="49" customFormat="1" ht="63.75" thickBot="1" x14ac:dyDescent="0.3">
      <c r="A39" s="103" t="str">
        <f t="shared" ref="A39:A42" si="9">5&amp;E39</f>
        <v>5b</v>
      </c>
      <c r="B39" s="238"/>
      <c r="C39" s="225"/>
      <c r="D39" s="241"/>
      <c r="E39" s="83" t="s">
        <v>37</v>
      </c>
      <c r="F39" s="85" t="s">
        <v>82</v>
      </c>
      <c r="G39" s="115" t="s">
        <v>39</v>
      </c>
      <c r="H39" s="161" t="s">
        <v>224</v>
      </c>
      <c r="I39" s="108" t="str">
        <f t="shared" si="2"/>
        <v>Mantenimiento del control</v>
      </c>
      <c r="J39" s="105">
        <f>+IF(G39="Si",60,IF(G39="En proceso",50,40))</f>
        <v>60</v>
      </c>
      <c r="K39" s="105">
        <v>0.32300000000000001</v>
      </c>
      <c r="L39" s="105">
        <f t="shared" si="3"/>
        <v>60.323</v>
      </c>
    </row>
    <row r="40" spans="1:32" s="49" customFormat="1" ht="50.25" thickBot="1" x14ac:dyDescent="0.3">
      <c r="A40" s="103" t="str">
        <f t="shared" si="9"/>
        <v>5c</v>
      </c>
      <c r="B40" s="238"/>
      <c r="C40" s="225"/>
      <c r="D40" s="241"/>
      <c r="E40" s="83" t="s">
        <v>40</v>
      </c>
      <c r="F40" s="85" t="s">
        <v>83</v>
      </c>
      <c r="G40" s="115" t="s">
        <v>39</v>
      </c>
      <c r="H40" s="161" t="s">
        <v>225</v>
      </c>
      <c r="I40" s="108" t="str">
        <f t="shared" si="2"/>
        <v>Mantenimiento del control</v>
      </c>
      <c r="J40" s="105">
        <f>+IF(G40="Si",60,IF(G40="En proceso",50,40))</f>
        <v>60</v>
      </c>
      <c r="K40" s="105">
        <v>0.32400000000000001</v>
      </c>
      <c r="L40" s="105">
        <f t="shared" si="3"/>
        <v>60.323999999999998</v>
      </c>
    </row>
    <row r="41" spans="1:32" s="49" customFormat="1" ht="95.25" thickBot="1" x14ac:dyDescent="0.3">
      <c r="A41" s="103" t="str">
        <f t="shared" si="9"/>
        <v>5d</v>
      </c>
      <c r="B41" s="238"/>
      <c r="C41" s="225"/>
      <c r="D41" s="241"/>
      <c r="E41" s="83" t="s">
        <v>42</v>
      </c>
      <c r="F41" s="85" t="s">
        <v>84</v>
      </c>
      <c r="G41" s="115" t="s">
        <v>39</v>
      </c>
      <c r="H41" s="161" t="s">
        <v>224</v>
      </c>
      <c r="I41" s="108" t="str">
        <f t="shared" si="2"/>
        <v>Mantenimiento del control</v>
      </c>
      <c r="J41" s="105">
        <f>+IF(G41="Si",60,IF(G41="En proceso",50,40))</f>
        <v>60</v>
      </c>
      <c r="K41" s="105">
        <v>0.32500000000000001</v>
      </c>
      <c r="L41" s="105">
        <f t="shared" si="3"/>
        <v>60.325000000000003</v>
      </c>
    </row>
    <row r="42" spans="1:32" s="49" customFormat="1" ht="50.25" thickBot="1" x14ac:dyDescent="0.3">
      <c r="A42" s="103" t="str">
        <f t="shared" si="9"/>
        <v>5e</v>
      </c>
      <c r="B42" s="239"/>
      <c r="C42" s="226"/>
      <c r="D42" s="242"/>
      <c r="E42" s="86" t="s">
        <v>44</v>
      </c>
      <c r="F42" s="87" t="s">
        <v>85</v>
      </c>
      <c r="G42" s="116" t="s">
        <v>39</v>
      </c>
      <c r="H42" s="161" t="s">
        <v>226</v>
      </c>
      <c r="I42" s="109" t="str">
        <f t="shared" si="2"/>
        <v>Mantenimiento del control</v>
      </c>
      <c r="J42" s="105">
        <f>+IF(G42="Si",60,IF(G42="En proceso",50,40))</f>
        <v>60</v>
      </c>
      <c r="K42" s="105">
        <v>0.32600000000000001</v>
      </c>
      <c r="L42" s="105">
        <f t="shared" si="3"/>
        <v>60.326000000000001</v>
      </c>
    </row>
    <row r="43" spans="1:32" s="49" customFormat="1" ht="40.5" customHeight="1" thickBot="1" x14ac:dyDescent="0.3">
      <c r="A43" s="103" t="str">
        <f>6&amp;E43</f>
        <v>6a</v>
      </c>
      <c r="B43" s="247" t="s">
        <v>86</v>
      </c>
      <c r="C43" s="227" t="s">
        <v>87</v>
      </c>
      <c r="D43" s="244" t="s">
        <v>88</v>
      </c>
      <c r="E43" s="81" t="s">
        <v>34</v>
      </c>
      <c r="F43" s="82" t="s">
        <v>89</v>
      </c>
      <c r="G43" s="112" t="s">
        <v>39</v>
      </c>
      <c r="H43" s="161" t="s">
        <v>227</v>
      </c>
      <c r="I43" s="104" t="str">
        <f t="shared" si="2"/>
        <v>Mantenimiento del control</v>
      </c>
      <c r="J43" s="105">
        <f t="shared" ref="J43:J49" si="10">+IF(G43="Si",80,IF(G43="En proceso",70,60))</f>
        <v>80</v>
      </c>
      <c r="K43" s="105">
        <v>0.41199999999999998</v>
      </c>
      <c r="L43" s="105">
        <f t="shared" si="3"/>
        <v>80.412000000000006</v>
      </c>
    </row>
    <row r="44" spans="1:32" s="49" customFormat="1" ht="33" customHeight="1" thickBot="1" x14ac:dyDescent="0.3">
      <c r="A44" s="103" t="str">
        <f t="shared" ref="A44:A49" si="11">6&amp;E44</f>
        <v>6b</v>
      </c>
      <c r="B44" s="248"/>
      <c r="C44" s="228"/>
      <c r="D44" s="245"/>
      <c r="E44" s="83" t="s">
        <v>37</v>
      </c>
      <c r="F44" s="85" t="s">
        <v>90</v>
      </c>
      <c r="G44" s="115" t="s">
        <v>39</v>
      </c>
      <c r="H44" s="162" t="s">
        <v>218</v>
      </c>
      <c r="I44" s="108" t="str">
        <f t="shared" si="2"/>
        <v>Mantenimiento del control</v>
      </c>
      <c r="J44" s="105">
        <f t="shared" si="10"/>
        <v>80</v>
      </c>
      <c r="K44" s="105">
        <v>0.4123</v>
      </c>
      <c r="L44" s="105">
        <f t="shared" si="3"/>
        <v>80.412300000000002</v>
      </c>
    </row>
    <row r="45" spans="1:32" s="49" customFormat="1" ht="83.25" thickBot="1" x14ac:dyDescent="0.3">
      <c r="A45" s="103" t="str">
        <f t="shared" si="11"/>
        <v>6c</v>
      </c>
      <c r="B45" s="248"/>
      <c r="C45" s="228"/>
      <c r="D45" s="245"/>
      <c r="E45" s="83" t="s">
        <v>40</v>
      </c>
      <c r="F45" s="85" t="s">
        <v>91</v>
      </c>
      <c r="G45" s="115" t="s">
        <v>39</v>
      </c>
      <c r="H45" s="162" t="s">
        <v>217</v>
      </c>
      <c r="I45" s="108" t="str">
        <f t="shared" si="2"/>
        <v>Mantenimiento del control</v>
      </c>
      <c r="J45" s="105">
        <f t="shared" si="10"/>
        <v>80</v>
      </c>
      <c r="K45" s="105">
        <v>0.41233999999999998</v>
      </c>
      <c r="L45" s="105">
        <f t="shared" si="3"/>
        <v>80.41234</v>
      </c>
    </row>
    <row r="46" spans="1:32" s="49" customFormat="1" ht="99.75" thickBot="1" x14ac:dyDescent="0.3">
      <c r="A46" s="103" t="str">
        <f t="shared" si="11"/>
        <v>6d</v>
      </c>
      <c r="B46" s="248"/>
      <c r="C46" s="228"/>
      <c r="D46" s="245"/>
      <c r="E46" s="83" t="s">
        <v>42</v>
      </c>
      <c r="F46" s="85" t="s">
        <v>92</v>
      </c>
      <c r="G46" s="115" t="s">
        <v>76</v>
      </c>
      <c r="H46" s="161" t="s">
        <v>205</v>
      </c>
      <c r="I46" s="108" t="str">
        <f t="shared" si="2"/>
        <v>Oportunidad de mejora</v>
      </c>
      <c r="J46" s="105">
        <f t="shared" si="10"/>
        <v>70</v>
      </c>
      <c r="K46" s="105">
        <v>0.41234500000000002</v>
      </c>
      <c r="L46" s="105">
        <f t="shared" si="3"/>
        <v>70.412345000000002</v>
      </c>
    </row>
    <row r="47" spans="1:32" s="49" customFormat="1" ht="83.25" thickBot="1" x14ac:dyDescent="0.3">
      <c r="A47" s="103" t="str">
        <f t="shared" si="11"/>
        <v>6e</v>
      </c>
      <c r="B47" s="248"/>
      <c r="C47" s="228"/>
      <c r="D47" s="245"/>
      <c r="E47" s="83" t="s">
        <v>44</v>
      </c>
      <c r="F47" s="85" t="s">
        <v>93</v>
      </c>
      <c r="G47" s="115" t="s">
        <v>39</v>
      </c>
      <c r="H47" s="161" t="s">
        <v>228</v>
      </c>
      <c r="I47" s="108" t="str">
        <f t="shared" si="2"/>
        <v>Mantenimiento del control</v>
      </c>
      <c r="J47" s="105">
        <f t="shared" si="10"/>
        <v>80</v>
      </c>
      <c r="K47" s="105">
        <v>0.41234559999999998</v>
      </c>
      <c r="L47" s="105">
        <f t="shared" si="3"/>
        <v>80.412345599999995</v>
      </c>
    </row>
    <row r="48" spans="1:32" s="49" customFormat="1" ht="83.25" thickBot="1" x14ac:dyDescent="0.3">
      <c r="A48" s="103" t="str">
        <f t="shared" si="11"/>
        <v>6f</v>
      </c>
      <c r="B48" s="248"/>
      <c r="C48" s="228"/>
      <c r="D48" s="245"/>
      <c r="E48" s="83" t="s">
        <v>46</v>
      </c>
      <c r="F48" s="85" t="s">
        <v>94</v>
      </c>
      <c r="G48" s="115" t="s">
        <v>39</v>
      </c>
      <c r="H48" s="161" t="s">
        <v>229</v>
      </c>
      <c r="I48" s="108" t="str">
        <f t="shared" si="2"/>
        <v>Mantenimiento del control</v>
      </c>
      <c r="J48" s="105">
        <f t="shared" si="10"/>
        <v>80</v>
      </c>
      <c r="K48" s="105">
        <v>0.41234567</v>
      </c>
      <c r="L48" s="105">
        <f t="shared" si="3"/>
        <v>80.412345669999993</v>
      </c>
    </row>
    <row r="49" spans="1:17" s="49" customFormat="1" ht="115.5" thickBot="1" x14ac:dyDescent="0.3">
      <c r="A49" s="103" t="str">
        <f t="shared" si="11"/>
        <v>6g</v>
      </c>
      <c r="B49" s="249"/>
      <c r="C49" s="229"/>
      <c r="D49" s="246"/>
      <c r="E49" s="86" t="s">
        <v>48</v>
      </c>
      <c r="F49" s="87" t="s">
        <v>95</v>
      </c>
      <c r="G49" s="116" t="s">
        <v>76</v>
      </c>
      <c r="H49" s="161" t="s">
        <v>206</v>
      </c>
      <c r="I49" s="109" t="str">
        <f t="shared" si="2"/>
        <v>Oportunidad de mejora</v>
      </c>
      <c r="J49" s="105">
        <f t="shared" si="10"/>
        <v>70</v>
      </c>
      <c r="K49" s="105">
        <v>0.41234567799999999</v>
      </c>
      <c r="L49" s="105">
        <f t="shared" si="3"/>
        <v>70.412345677999994</v>
      </c>
    </row>
    <row r="50" spans="1:17" s="49" customFormat="1" ht="54.75" customHeight="1" thickBot="1" x14ac:dyDescent="0.3">
      <c r="A50" s="103" t="str">
        <f>7&amp;E50</f>
        <v>7a</v>
      </c>
      <c r="B50" s="215" t="s">
        <v>96</v>
      </c>
      <c r="C50" s="230" t="s">
        <v>97</v>
      </c>
      <c r="D50" s="212" t="s">
        <v>98</v>
      </c>
      <c r="E50" s="81" t="s">
        <v>34</v>
      </c>
      <c r="F50" s="82" t="s">
        <v>99</v>
      </c>
      <c r="G50" s="112" t="s">
        <v>39</v>
      </c>
      <c r="H50" s="161" t="s">
        <v>207</v>
      </c>
      <c r="I50" s="104" t="str">
        <f t="shared" si="2"/>
        <v>Mantenimiento del control</v>
      </c>
      <c r="J50" s="105">
        <f>+IF(G50="Si",120,IF(G50="En proceso",100,80))</f>
        <v>120</v>
      </c>
      <c r="K50" s="105">
        <v>0.85099999999999998</v>
      </c>
      <c r="L50" s="105">
        <f t="shared" si="3"/>
        <v>120.851</v>
      </c>
    </row>
    <row r="51" spans="1:17" s="49" customFormat="1" ht="95.25" thickBot="1" x14ac:dyDescent="0.3">
      <c r="A51" s="103" t="str">
        <f t="shared" ref="A51:A53" si="12">7&amp;E51</f>
        <v>7d</v>
      </c>
      <c r="B51" s="216"/>
      <c r="C51" s="231"/>
      <c r="D51" s="213"/>
      <c r="E51" s="83" t="s">
        <v>42</v>
      </c>
      <c r="F51" s="85" t="s">
        <v>100</v>
      </c>
      <c r="G51" s="115" t="s">
        <v>39</v>
      </c>
      <c r="H51" s="161" t="s">
        <v>230</v>
      </c>
      <c r="I51" s="108" t="str">
        <f t="shared" si="2"/>
        <v>Mantenimiento del control</v>
      </c>
      <c r="J51" s="105">
        <f t="shared" ref="J51:J59" si="13">+IF(G51="Si",120,IF(G51="En proceso",100,80))</f>
        <v>120</v>
      </c>
      <c r="K51" s="105">
        <v>0.85119999999999996</v>
      </c>
      <c r="L51" s="105">
        <f t="shared" si="3"/>
        <v>120.85120000000001</v>
      </c>
    </row>
    <row r="52" spans="1:17" s="49" customFormat="1" ht="48" thickBot="1" x14ac:dyDescent="0.3">
      <c r="A52" s="103" t="str">
        <f t="shared" si="12"/>
        <v>7f</v>
      </c>
      <c r="B52" s="216"/>
      <c r="C52" s="231"/>
      <c r="D52" s="213"/>
      <c r="E52" s="83" t="s">
        <v>46</v>
      </c>
      <c r="F52" s="85" t="s">
        <v>101</v>
      </c>
      <c r="G52" s="115" t="s">
        <v>39</v>
      </c>
      <c r="H52" s="161" t="s">
        <v>194</v>
      </c>
      <c r="I52" s="108" t="str">
        <f t="shared" si="2"/>
        <v>Mantenimiento del control</v>
      </c>
      <c r="J52" s="105">
        <f t="shared" si="13"/>
        <v>120</v>
      </c>
      <c r="K52" s="105">
        <v>0.85123000000000004</v>
      </c>
      <c r="L52" s="105">
        <f t="shared" si="3"/>
        <v>120.85123</v>
      </c>
    </row>
    <row r="53" spans="1:17" s="49" customFormat="1" ht="66.75" thickBot="1" x14ac:dyDescent="0.3">
      <c r="A53" s="103" t="str">
        <f t="shared" si="12"/>
        <v>7g</v>
      </c>
      <c r="B53" s="217"/>
      <c r="C53" s="232"/>
      <c r="D53" s="250"/>
      <c r="E53" s="86" t="s">
        <v>48</v>
      </c>
      <c r="F53" s="87" t="s">
        <v>102</v>
      </c>
      <c r="G53" s="116" t="s">
        <v>39</v>
      </c>
      <c r="H53" s="161" t="s">
        <v>208</v>
      </c>
      <c r="I53" s="109" t="str">
        <f t="shared" si="2"/>
        <v>Mantenimiento del control</v>
      </c>
      <c r="J53" s="105">
        <f t="shared" si="13"/>
        <v>120</v>
      </c>
      <c r="K53" s="105">
        <v>0.85123400000000005</v>
      </c>
      <c r="L53" s="105">
        <f t="shared" si="3"/>
        <v>120.85123400000001</v>
      </c>
    </row>
    <row r="54" spans="1:17" s="49" customFormat="1" ht="102.75" customHeight="1" thickBot="1" x14ac:dyDescent="0.3">
      <c r="A54" s="103" t="str">
        <f>8&amp;E54</f>
        <v>8h</v>
      </c>
      <c r="B54" s="158" t="s">
        <v>103</v>
      </c>
      <c r="C54" s="159" t="s">
        <v>97</v>
      </c>
      <c r="D54" s="76" t="s">
        <v>104</v>
      </c>
      <c r="E54" s="81" t="s">
        <v>50</v>
      </c>
      <c r="F54" s="82" t="s">
        <v>105</v>
      </c>
      <c r="G54" s="112" t="s">
        <v>36</v>
      </c>
      <c r="H54" s="113" t="s">
        <v>209</v>
      </c>
      <c r="I54" s="104" t="str">
        <f t="shared" si="2"/>
        <v>Deficiencia de control</v>
      </c>
      <c r="J54" s="105">
        <f t="shared" si="13"/>
        <v>80</v>
      </c>
      <c r="K54" s="105">
        <v>0.85123450000000001</v>
      </c>
      <c r="L54" s="105">
        <f t="shared" si="3"/>
        <v>80.851234500000004</v>
      </c>
    </row>
    <row r="55" spans="1:17" s="49" customFormat="1" ht="54.75" customHeight="1" thickBot="1" x14ac:dyDescent="0.3">
      <c r="A55" s="103" t="str">
        <f>9&amp;E55</f>
        <v>9a</v>
      </c>
      <c r="B55" s="215" t="s">
        <v>106</v>
      </c>
      <c r="C55" s="230" t="s">
        <v>97</v>
      </c>
      <c r="D55" s="212" t="s">
        <v>107</v>
      </c>
      <c r="E55" s="81" t="s">
        <v>34</v>
      </c>
      <c r="F55" s="82" t="s">
        <v>108</v>
      </c>
      <c r="G55" s="112" t="s">
        <v>39</v>
      </c>
      <c r="H55" s="161" t="s">
        <v>231</v>
      </c>
      <c r="I55" s="104" t="str">
        <f t="shared" si="2"/>
        <v>Mantenimiento del control</v>
      </c>
      <c r="J55" s="105">
        <f t="shared" si="13"/>
        <v>120</v>
      </c>
      <c r="K55" s="110">
        <v>0.85123455999999997</v>
      </c>
      <c r="L55" s="105">
        <f t="shared" si="3"/>
        <v>120.85123455999999</v>
      </c>
      <c r="M55" s="48"/>
      <c r="N55" s="48"/>
      <c r="O55" s="48"/>
      <c r="P55" s="48"/>
      <c r="Q55" s="48"/>
    </row>
    <row r="56" spans="1:17" s="49" customFormat="1" ht="55.5" customHeight="1" thickBot="1" x14ac:dyDescent="0.3">
      <c r="A56" s="103" t="str">
        <f t="shared" ref="A56:A59" si="14">9&amp;E56</f>
        <v>9b</v>
      </c>
      <c r="B56" s="216"/>
      <c r="C56" s="231"/>
      <c r="D56" s="213"/>
      <c r="E56" s="83" t="s">
        <v>37</v>
      </c>
      <c r="F56" s="85" t="s">
        <v>109</v>
      </c>
      <c r="G56" s="115" t="s">
        <v>39</v>
      </c>
      <c r="H56" s="161" t="s">
        <v>231</v>
      </c>
      <c r="I56" s="108" t="str">
        <f t="shared" si="2"/>
        <v>Mantenimiento del control</v>
      </c>
      <c r="J56" s="105">
        <f t="shared" si="13"/>
        <v>120</v>
      </c>
      <c r="K56" s="110">
        <v>0.851234567</v>
      </c>
      <c r="L56" s="105">
        <f t="shared" si="3"/>
        <v>120.85123456700001</v>
      </c>
      <c r="M56" s="48"/>
      <c r="N56" s="48"/>
      <c r="O56" s="48"/>
      <c r="P56" s="48"/>
      <c r="Q56" s="48"/>
    </row>
    <row r="57" spans="1:17" s="49" customFormat="1" ht="77.25" customHeight="1" thickBot="1" x14ac:dyDescent="0.3">
      <c r="A57" s="103" t="str">
        <f t="shared" si="14"/>
        <v>9c</v>
      </c>
      <c r="B57" s="216"/>
      <c r="C57" s="231"/>
      <c r="D57" s="213"/>
      <c r="E57" s="83" t="s">
        <v>40</v>
      </c>
      <c r="F57" s="85" t="s">
        <v>110</v>
      </c>
      <c r="G57" s="115" t="s">
        <v>39</v>
      </c>
      <c r="H57" s="161" t="s">
        <v>231</v>
      </c>
      <c r="I57" s="108" t="str">
        <f t="shared" si="2"/>
        <v>Mantenimiento del control</v>
      </c>
      <c r="J57" s="105">
        <f t="shared" si="13"/>
        <v>120</v>
      </c>
      <c r="K57" s="110">
        <v>0.85123456779999995</v>
      </c>
      <c r="L57" s="105">
        <f t="shared" si="3"/>
        <v>120.85123456780001</v>
      </c>
      <c r="M57" s="48"/>
      <c r="N57" s="48"/>
      <c r="O57" s="48"/>
      <c r="P57" s="48"/>
      <c r="Q57" s="48"/>
    </row>
    <row r="58" spans="1:17" s="49" customFormat="1" ht="77.25" customHeight="1" thickBot="1" x14ac:dyDescent="0.3">
      <c r="A58" s="103" t="str">
        <f t="shared" si="14"/>
        <v>9d</v>
      </c>
      <c r="B58" s="216"/>
      <c r="C58" s="231"/>
      <c r="D58" s="213"/>
      <c r="E58" s="83" t="s">
        <v>42</v>
      </c>
      <c r="F58" s="85" t="s">
        <v>111</v>
      </c>
      <c r="G58" s="115" t="s">
        <v>39</v>
      </c>
      <c r="H58" s="161" t="s">
        <v>232</v>
      </c>
      <c r="I58" s="108" t="str">
        <f t="shared" si="2"/>
        <v>Mantenimiento del control</v>
      </c>
      <c r="J58" s="105">
        <f t="shared" si="13"/>
        <v>120</v>
      </c>
      <c r="K58" s="110">
        <v>0.85123456788999996</v>
      </c>
      <c r="L58" s="105">
        <f t="shared" si="3"/>
        <v>120.85123456789</v>
      </c>
      <c r="M58" s="48"/>
      <c r="N58" s="48"/>
      <c r="O58" s="48"/>
      <c r="P58" s="48"/>
      <c r="Q58" s="48"/>
    </row>
    <row r="59" spans="1:17" s="49" customFormat="1" ht="77.25" customHeight="1" thickBot="1" x14ac:dyDescent="0.3">
      <c r="A59" s="103" t="str">
        <f t="shared" si="14"/>
        <v>9e</v>
      </c>
      <c r="B59" s="217"/>
      <c r="C59" s="231"/>
      <c r="D59" s="214"/>
      <c r="E59" s="86" t="s">
        <v>44</v>
      </c>
      <c r="F59" s="87" t="s">
        <v>112</v>
      </c>
      <c r="G59" s="116" t="s">
        <v>39</v>
      </c>
      <c r="H59" s="161" t="s">
        <v>232</v>
      </c>
      <c r="I59" s="109" t="str">
        <f t="shared" si="2"/>
        <v>Mantenimiento del control</v>
      </c>
      <c r="J59" s="105">
        <f t="shared" si="13"/>
        <v>120</v>
      </c>
      <c r="K59" s="110">
        <v>0.85123456789100005</v>
      </c>
      <c r="L59" s="105">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A70" zoomScale="80" zoomScaleNormal="80" workbookViewId="0">
      <selection activeCell="F68" sqref="F68"/>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93" t="s">
        <v>113</v>
      </c>
      <c r="D7" s="294"/>
      <c r="E7" s="294"/>
      <c r="F7" s="294"/>
      <c r="G7" s="294"/>
      <c r="H7" s="294"/>
      <c r="I7" s="294"/>
      <c r="J7" s="294"/>
      <c r="K7" s="295"/>
    </row>
    <row r="8" spans="1:11" s="1" customFormat="1" ht="15.75" thickBot="1" x14ac:dyDescent="0.3">
      <c r="C8" s="39"/>
      <c r="D8" s="39"/>
      <c r="E8" s="40"/>
      <c r="F8" s="40"/>
      <c r="G8" s="40"/>
      <c r="H8" s="40"/>
      <c r="I8" s="50"/>
      <c r="J8" s="40"/>
      <c r="K8" s="40"/>
    </row>
    <row r="9" spans="1:11" ht="21" thickBot="1" x14ac:dyDescent="0.3">
      <c r="A9" s="1"/>
      <c r="B9" s="1"/>
      <c r="C9" s="195" t="s">
        <v>15</v>
      </c>
      <c r="D9" s="196"/>
      <c r="E9" s="196" t="s">
        <v>16</v>
      </c>
      <c r="F9" s="207"/>
      <c r="G9" s="40"/>
      <c r="H9" s="40"/>
      <c r="I9" s="50"/>
      <c r="J9" s="40"/>
      <c r="K9" s="40"/>
    </row>
    <row r="10" spans="1:11" ht="54" customHeight="1" x14ac:dyDescent="0.25">
      <c r="A10" s="1"/>
      <c r="B10" s="1"/>
      <c r="C10" s="208" t="s">
        <v>17</v>
      </c>
      <c r="D10" s="209"/>
      <c r="E10" s="210" t="s">
        <v>18</v>
      </c>
      <c r="F10" s="211"/>
      <c r="G10" s="41"/>
      <c r="H10" s="42">
        <v>1</v>
      </c>
      <c r="I10" s="50"/>
      <c r="J10" s="40"/>
      <c r="K10" s="40"/>
    </row>
    <row r="11" spans="1:11" ht="46.5" customHeight="1" x14ac:dyDescent="0.25">
      <c r="A11" s="1"/>
      <c r="B11" s="1"/>
      <c r="C11" s="197" t="s">
        <v>19</v>
      </c>
      <c r="D11" s="198"/>
      <c r="E11" s="199" t="s">
        <v>114</v>
      </c>
      <c r="F11" s="200"/>
      <c r="G11" s="43" t="s">
        <v>115</v>
      </c>
      <c r="H11" s="42">
        <v>0.75</v>
      </c>
      <c r="I11" s="50"/>
      <c r="J11" s="40"/>
      <c r="K11" s="40"/>
    </row>
    <row r="12" spans="1:11" ht="70.5" customHeight="1" thickBot="1" x14ac:dyDescent="0.3">
      <c r="A12" s="1"/>
      <c r="B12" s="1"/>
      <c r="C12" s="201" t="s">
        <v>21</v>
      </c>
      <c r="D12" s="202"/>
      <c r="E12" s="203" t="s">
        <v>116</v>
      </c>
      <c r="F12" s="204"/>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85" t="s">
        <v>117</v>
      </c>
      <c r="D17" s="287" t="s">
        <v>118</v>
      </c>
      <c r="E17" s="288"/>
      <c r="F17" s="289" t="s">
        <v>119</v>
      </c>
      <c r="G17" s="291" t="s">
        <v>120</v>
      </c>
      <c r="H17" s="38"/>
      <c r="I17" s="280" t="s">
        <v>121</v>
      </c>
      <c r="J17" s="280" t="s">
        <v>122</v>
      </c>
    </row>
    <row r="18" spans="1:10" ht="36" customHeight="1" thickBot="1" x14ac:dyDescent="0.3">
      <c r="A18" s="1"/>
      <c r="B18" s="1"/>
      <c r="C18" s="286"/>
      <c r="D18" s="118" t="s">
        <v>123</v>
      </c>
      <c r="E18" s="119" t="s">
        <v>27</v>
      </c>
      <c r="F18" s="290"/>
      <c r="G18" s="292"/>
      <c r="H18" s="38"/>
      <c r="I18" s="281"/>
      <c r="J18" s="281"/>
    </row>
    <row r="19" spans="1:10" ht="65.25" customHeight="1" x14ac:dyDescent="0.25">
      <c r="A19" s="1"/>
      <c r="B19" s="1"/>
      <c r="C19" s="137">
        <v>1</v>
      </c>
      <c r="D19" s="282" t="s">
        <v>32</v>
      </c>
      <c r="E19" s="120" t="str">
        <f>+IFERROR(INDEX(Hoja1!$E$2:$E$45,MATCH('Análisis Resultados'!C19,Hoja1!$H$2:$H$45,0)),"")</f>
        <v>Evaluación a los servidores públicos de acuerdo con el marco normativo que le rige</v>
      </c>
      <c r="F19" s="121" t="str">
        <f>+IFERROR(VLOOKUP(C19,Hoja1!$H$2:$I$45,2,0),"")</f>
        <v>No</v>
      </c>
      <c r="G19" s="122"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38">
        <f>+IF(F19="Si",1,IF(F19="En proceso",0.5,0))</f>
        <v>0</v>
      </c>
      <c r="J19" s="264">
        <f>+AVERAGE(I19:I30)</f>
        <v>0.79166666666666663</v>
      </c>
    </row>
    <row r="20" spans="1:10" ht="42.75" x14ac:dyDescent="0.25">
      <c r="A20" s="1"/>
      <c r="B20" s="1"/>
      <c r="C20" s="137">
        <v>2</v>
      </c>
      <c r="D20" s="283"/>
      <c r="E20" s="123" t="str">
        <f>+IFERROR(INDEX(Hoja1!$E$2:$E$45,MATCH('Análisis Resultados'!C20,Hoja1!$H$2:$H$45,0)),"")</f>
        <v>La documentación de sus procesos y procedimientos o bien una lista de actividades principales que permitan conocer el estado de su gestión</v>
      </c>
      <c r="F20" s="124" t="str">
        <f>+IFERROR(VLOOKUP(C20,Hoja1!$H$2:$I$45,2,0),"")</f>
        <v>En proceso</v>
      </c>
      <c r="G20" s="125"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H20" s="18"/>
      <c r="I20" s="139">
        <f t="shared" ref="I20:I62" si="1">+IF(F20="Si",1,IF(F20="En proceso",0.5,0))</f>
        <v>0.5</v>
      </c>
      <c r="J20" s="265"/>
    </row>
    <row r="21" spans="1:10" ht="42.75" x14ac:dyDescent="0.25">
      <c r="A21" s="1"/>
      <c r="B21" s="1"/>
      <c r="C21" s="137">
        <v>3</v>
      </c>
      <c r="D21" s="283"/>
      <c r="E21" s="123" t="str">
        <f>+IFERROR(INDEX(Hoja1!$E$2:$E$45,MATCH('Análisis Resultados'!C21,Hoja1!$H$2:$H$45,0)),"")</f>
        <v>Procesos de inducción, capacitación y bienestar social para sus servidores públicos, de manera directa o en asociación con otras entidades municipales</v>
      </c>
      <c r="F21" s="124" t="str">
        <f>+IFERROR(VLOOKUP(C21,Hoja1!$H$2:$I$45,2,0),"")</f>
        <v>En proceso</v>
      </c>
      <c r="G21" s="125" t="str">
        <f t="shared" si="0"/>
        <v>Se encuentra en proceso, pero requiere continuar con acciones dirigidas a contar con dicho aspecto de control.</v>
      </c>
      <c r="H21" s="18"/>
      <c r="I21" s="139">
        <f t="shared" si="1"/>
        <v>0.5</v>
      </c>
      <c r="J21" s="265"/>
    </row>
    <row r="22" spans="1:10" ht="56.25" customHeight="1" x14ac:dyDescent="0.25">
      <c r="A22" s="1"/>
      <c r="B22" s="1"/>
      <c r="C22" s="137">
        <v>4</v>
      </c>
      <c r="D22" s="283"/>
      <c r="E22" s="123" t="str">
        <f>+IFERROR(INDEX(Hoja1!$E$2:$E$45,MATCH('Análisis Resultados'!C22,Hoja1!$H$2:$H$45,0)),"")</f>
        <v>Procesos de desvinculación de servidores de acuerdo con lo previsto en la Constitución Política y las leyes</v>
      </c>
      <c r="F22" s="124" t="str">
        <f>+IFERROR(VLOOKUP(C22,Hoja1!$H$2:$I$45,2,0),"")</f>
        <v>En proceso</v>
      </c>
      <c r="G22" s="125" t="str">
        <f t="shared" si="0"/>
        <v>Se encuentra en proceso, pero requiere continuar con acciones dirigidas a contar con dicho aspecto de control.</v>
      </c>
      <c r="H22" s="18"/>
      <c r="I22" s="139">
        <f t="shared" si="1"/>
        <v>0.5</v>
      </c>
      <c r="J22" s="265"/>
    </row>
    <row r="23" spans="1:10" ht="45" x14ac:dyDescent="0.25">
      <c r="A23" s="1"/>
      <c r="B23" s="1"/>
      <c r="C23" s="137">
        <v>5</v>
      </c>
      <c r="D23" s="283"/>
      <c r="E23" s="123" t="str">
        <f>+IFERROR(INDEX(Hoja1!$E$2:$E$45,MATCH('Análisis Resultados'!C23,Hoja1!$H$2:$H$45,0)),"")</f>
        <v>Documento interno o adopción del MECI actualizado</v>
      </c>
      <c r="F23" s="124" t="str">
        <f>+IFERROR(VLOOKUP(C23,Hoja1!$H$2:$I$45,2,0),"")</f>
        <v>Si</v>
      </c>
      <c r="G23" s="125" t="str">
        <f t="shared" si="0"/>
        <v>Existe requerimiento pero se requiere actividades  dirigidas a su mantenimiento dentro del marco de las lineas de defensa.</v>
      </c>
      <c r="H23" s="18"/>
      <c r="I23" s="139">
        <f t="shared" si="1"/>
        <v>1</v>
      </c>
      <c r="J23" s="265"/>
    </row>
    <row r="24" spans="1:10" ht="57" x14ac:dyDescent="0.25">
      <c r="A24" s="1"/>
      <c r="B24" s="1"/>
      <c r="C24" s="137">
        <v>6</v>
      </c>
      <c r="D24" s="283"/>
      <c r="E24" s="123" t="str">
        <f>+IFERROR(INDEX(Hoja1!$E$2:$E$45,MATCH('Análisis Resultados'!C24,Hoja1!$H$2:$H$45,0)),"")</f>
        <v>Un documento tal como un código de ética, integridad u otro que formalice los estándares de conducta, los principios institucionales o los valores del servicio público</v>
      </c>
      <c r="F24" s="124" t="str">
        <f>+IFERROR(VLOOKUP(C24,Hoja1!$H$2:$I$45,2,0),"")</f>
        <v>Si</v>
      </c>
      <c r="G24" s="125" t="str">
        <f t="shared" si="0"/>
        <v>Existe requerimiento pero se requiere actividades  dirigidas a su mantenimiento dentro del marco de las lineas de defensa.</v>
      </c>
      <c r="H24" s="18"/>
      <c r="I24" s="139">
        <f t="shared" si="1"/>
        <v>1</v>
      </c>
      <c r="J24" s="265"/>
    </row>
    <row r="25" spans="1:10" ht="45" x14ac:dyDescent="0.25">
      <c r="A25" s="1"/>
      <c r="B25" s="1"/>
      <c r="C25" s="137">
        <v>7</v>
      </c>
      <c r="D25" s="283"/>
      <c r="E25" s="123" t="str">
        <f>+IFERROR(INDEX(Hoja1!$E$2:$E$45,MATCH('Análisis Resultados'!C25,Hoja1!$H$2:$H$45,0)),"")</f>
        <v>Planes, programas y proyectos de acuerdo con las normas que rigen y atendiendo con su propósito fundamental institucional (misión)</v>
      </c>
      <c r="F25" s="124" t="str">
        <f>+IFERROR(VLOOKUP(C25,Hoja1!$H$2:$I$45,2,0),"")</f>
        <v>Si</v>
      </c>
      <c r="G25" s="125" t="str">
        <f t="shared" si="0"/>
        <v>Existe requerimiento pero se requiere actividades  dirigidas a su mantenimiento dentro del marco de las lineas de defensa.</v>
      </c>
      <c r="H25" s="18"/>
      <c r="I25" s="139">
        <f t="shared" si="1"/>
        <v>1</v>
      </c>
      <c r="J25" s="265"/>
    </row>
    <row r="26" spans="1:10" ht="45" x14ac:dyDescent="0.25">
      <c r="A26" s="1"/>
      <c r="B26" s="1"/>
      <c r="C26" s="137">
        <v>8</v>
      </c>
      <c r="D26" s="283"/>
      <c r="E26" s="123" t="str">
        <f>+IFERROR(INDEX(Hoja1!$E$2:$E$45,MATCH('Análisis Resultados'!C26,Hoja1!$H$2:$H$45,0)),"")</f>
        <v>Una estructura organizacional formalizada (organigrama)</v>
      </c>
      <c r="F26" s="124" t="str">
        <f>+IFERROR(VLOOKUP(C26,Hoja1!$H$2:$I$45,2,0),"")</f>
        <v>Si</v>
      </c>
      <c r="G26" s="125" t="str">
        <f t="shared" si="0"/>
        <v>Existe requerimiento pero se requiere actividades  dirigidas a su mantenimiento dentro del marco de las lineas de defensa.</v>
      </c>
      <c r="H26" s="18"/>
      <c r="I26" s="139">
        <f t="shared" si="1"/>
        <v>1</v>
      </c>
      <c r="J26" s="265"/>
    </row>
    <row r="27" spans="1:10" ht="45" x14ac:dyDescent="0.25">
      <c r="A27" s="1"/>
      <c r="B27" s="1"/>
      <c r="C27" s="137">
        <v>9</v>
      </c>
      <c r="D27" s="283"/>
      <c r="E27" s="123" t="str">
        <f>+IFERROR(INDEX(Hoja1!$E$2:$E$45,MATCH('Análisis Resultados'!C27,Hoja1!$H$2:$H$45,0)),"")</f>
        <v>Un manual de funciones que describa los empleos de la entidad</v>
      </c>
      <c r="F27" s="124" t="str">
        <f>+IFERROR(VLOOKUP(C27,Hoja1!$H$2:$I$45,2,0),"")</f>
        <v>Si</v>
      </c>
      <c r="G27" s="125" t="str">
        <f t="shared" si="0"/>
        <v>Existe requerimiento pero se requiere actividades  dirigidas a su mantenimiento dentro del marco de las lineas de defensa.</v>
      </c>
      <c r="H27" s="18"/>
      <c r="I27" s="139">
        <f t="shared" si="1"/>
        <v>1</v>
      </c>
      <c r="J27" s="265"/>
    </row>
    <row r="28" spans="1:10" ht="45" x14ac:dyDescent="0.25">
      <c r="A28" s="1"/>
      <c r="B28" s="1"/>
      <c r="C28" s="137">
        <v>10</v>
      </c>
      <c r="D28" s="283"/>
      <c r="E28" s="123" t="str">
        <f>+IFERROR(INDEX(Hoja1!$E$2:$E$45,MATCH('Análisis Resultados'!C28,Hoja1!$H$2:$H$45,0)),"")</f>
        <v>Vinculación de los servidores públicos de acuerdo con el marco normativo que les rige (carrera administrativa, libre nombramiento y remoción, entre otros)</v>
      </c>
      <c r="F28" s="124" t="str">
        <f>+IFERROR(VLOOKUP(C28,Hoja1!$H$2:$I$45,2,0),"")</f>
        <v>Si</v>
      </c>
      <c r="G28" s="125" t="str">
        <f t="shared" si="0"/>
        <v>Existe requerimiento pero se requiere actividades  dirigidas a su mantenimiento dentro del marco de las lineas de defensa.</v>
      </c>
      <c r="H28" s="18"/>
      <c r="I28" s="139">
        <f t="shared" si="1"/>
        <v>1</v>
      </c>
      <c r="J28" s="265"/>
    </row>
    <row r="29" spans="1:10" ht="45" x14ac:dyDescent="0.25">
      <c r="A29" s="1"/>
      <c r="B29" s="1"/>
      <c r="C29" s="137">
        <v>11</v>
      </c>
      <c r="D29" s="283"/>
      <c r="E29" s="123" t="str">
        <f>+IFERROR(INDEX(Hoja1!$E$2:$E$45,MATCH('Análisis Resultados'!C29,Hoja1!$H$2:$H$45,0)),"")</f>
        <v>Mecanismos de rendición de cuentas a la ciudadanía</v>
      </c>
      <c r="F29" s="124" t="str">
        <f>+IFERROR(VLOOKUP(C29,Hoja1!$H$2:$I$45,2,0),"")</f>
        <v>Si</v>
      </c>
      <c r="G29" s="125"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39">
        <f t="shared" si="1"/>
        <v>1</v>
      </c>
      <c r="J29" s="265"/>
    </row>
    <row r="30" spans="1:10" ht="45.75" thickBot="1" x14ac:dyDescent="0.3">
      <c r="A30" s="1"/>
      <c r="B30" s="1"/>
      <c r="C30" s="137">
        <v>12</v>
      </c>
      <c r="D30" s="284"/>
      <c r="E30" s="126" t="str">
        <f>+IFERROR(INDEX(Hoja1!$E$2:$E$45,MATCH('Análisis Resultados'!C30,Hoja1!$H$2:$H$45,0)),"")</f>
        <v>Presentación oportuna de sus informes de gestión a las autoridades competentes</v>
      </c>
      <c r="F30" s="127" t="str">
        <f>+IFERROR(VLOOKUP(C30,Hoja1!$H$2:$I$45,2,0),"")</f>
        <v>Si</v>
      </c>
      <c r="G30" s="128" t="str">
        <f t="shared" si="0"/>
        <v>Existe requerimiento pero se requiere actividades  dirigidas a su mantenimiento dentro del marco de las lineas de defensa.</v>
      </c>
      <c r="H30" s="18"/>
      <c r="I30" s="140">
        <f t="shared" si="1"/>
        <v>1</v>
      </c>
      <c r="J30" s="266"/>
    </row>
    <row r="31" spans="1:10" ht="45" customHeight="1" x14ac:dyDescent="0.25">
      <c r="A31" s="1"/>
      <c r="B31" s="1"/>
      <c r="C31" s="137">
        <v>13</v>
      </c>
      <c r="D31" s="278" t="s">
        <v>61</v>
      </c>
      <c r="E31" s="120" t="str">
        <f>+IFERROR(INDEX(Hoja1!$E$2:$E$45,MATCH('Análisis Resultados'!C31,Hoja1!$H$2:$H$45,0)),"")</f>
        <v>Si su capacidad e infraestructura lo permite, identificación de riesgos asociados a las tecnologías de la información y las comunicaciones</v>
      </c>
      <c r="F31" s="121" t="str">
        <f>+IFERROR(VLOOKUP(C31,Hoja1!$H$2:$I$45,2,0),"")</f>
        <v>En proceso</v>
      </c>
      <c r="G31" s="122" t="str">
        <f t="shared" si="0"/>
        <v>Se encuentra en proceso, pero requiere continuar con acciones dirigidas a contar con dicho aspecto de control.</v>
      </c>
      <c r="H31" s="18"/>
      <c r="I31" s="138">
        <f t="shared" si="1"/>
        <v>0.5</v>
      </c>
      <c r="J31" s="262">
        <f>+AVERAGE(I31:I40)</f>
        <v>0.95</v>
      </c>
    </row>
    <row r="32" spans="1:10" ht="57" customHeight="1" x14ac:dyDescent="0.25">
      <c r="A32" s="1"/>
      <c r="B32" s="1"/>
      <c r="C32" s="137">
        <v>14</v>
      </c>
      <c r="D32" s="279"/>
      <c r="E32" s="123" t="str">
        <f>+IFERROR(INDEX(Hoja1!$E$2:$E$45,MATCH('Análisis Resultados'!C32,Hoja1!$H$2:$H$45,0)),"")</f>
        <v>La identificación de cambios en su entorno que pueden generar consecuencias negativas en su gestión</v>
      </c>
      <c r="F32" s="124" t="str">
        <f>+IFERROR(VLOOKUP(C32,Hoja1!$H$2:$I$45,2,0),"")</f>
        <v>Si</v>
      </c>
      <c r="G32" s="125" t="str">
        <f t="shared" si="0"/>
        <v>Existe requerimiento pero se requiere actividades  dirigidas a su mantenimiento dentro del marco de las lineas de defensa.</v>
      </c>
      <c r="H32" s="18"/>
      <c r="I32" s="139">
        <f t="shared" si="1"/>
        <v>1</v>
      </c>
      <c r="J32" s="263"/>
    </row>
    <row r="33" spans="1:10" ht="54" customHeight="1" x14ac:dyDescent="0.25">
      <c r="A33" s="1"/>
      <c r="B33" s="1"/>
      <c r="C33" s="137">
        <v>15</v>
      </c>
      <c r="D33" s="279"/>
      <c r="E33" s="123" t="str">
        <f>+IFERROR(INDEX(Hoja1!$E$2:$E$45,MATCH('Análisis Resultados'!C33,Hoja1!$H$2:$H$45,0)),"")</f>
        <v>La identificación de aquellos problemas o aspectos que pueden afectar el cumplimiento de los planes de la entidad y en general su gestión institucional (riesgos)</v>
      </c>
      <c r="F33" s="124" t="str">
        <f>+IFERROR(VLOOKUP(C33,Hoja1!$H$2:$I$45,2,0),"")</f>
        <v>Si</v>
      </c>
      <c r="G33" s="125" t="str">
        <f t="shared" si="0"/>
        <v>Existe requerimiento pero se requiere actividades  dirigidas a su mantenimiento dentro del marco de las lineas de defensa.</v>
      </c>
      <c r="H33" s="18"/>
      <c r="I33" s="139">
        <f t="shared" si="1"/>
        <v>1</v>
      </c>
      <c r="J33" s="263"/>
    </row>
    <row r="34" spans="1:10" ht="45" x14ac:dyDescent="0.25">
      <c r="A34" s="1"/>
      <c r="B34" s="1"/>
      <c r="C34" s="137">
        <v>16</v>
      </c>
      <c r="D34" s="279"/>
      <c r="E34" s="123" t="str">
        <f>+IFERROR(INDEX(Hoja1!$E$2:$E$45,MATCH('Análisis Resultados'!C34,Hoja1!$H$2:$H$45,0)),"")</f>
        <v>La identificación  de los riesgos relacionados con posibles actos de corrupción en el ejercicio de sus funciones</v>
      </c>
      <c r="F34" s="124" t="str">
        <f>+IFERROR(VLOOKUP(C34,Hoja1!$H$2:$I$45,2,0),"")</f>
        <v>Si</v>
      </c>
      <c r="G34" s="125" t="str">
        <f t="shared" si="0"/>
        <v>Existe requerimiento pero se requiere actividades  dirigidas a su mantenimiento dentro del marco de las lineas de defensa.</v>
      </c>
      <c r="H34" s="18"/>
      <c r="I34" s="139">
        <f t="shared" si="1"/>
        <v>1</v>
      </c>
      <c r="J34" s="263"/>
    </row>
    <row r="35" spans="1:10" ht="67.5" customHeight="1" x14ac:dyDescent="0.25">
      <c r="A35" s="1"/>
      <c r="B35" s="1"/>
      <c r="C35" s="137">
        <v>17</v>
      </c>
      <c r="D35" s="279"/>
      <c r="E35" s="123" t="str">
        <f>+IFERROR(INDEX(Hoja1!$E$2:$E$45,MATCH('Análisis Resultados'!C35,Hoja1!$H$2:$H$45,0)),"")</f>
        <v>Hacen seguimiento a los problemas (riesgos)  que pueden afectar el cumplimiento de sus procesos, programas o proyectos a cargo</v>
      </c>
      <c r="F35" s="124" t="str">
        <f>+IFERROR(VLOOKUP(C35,Hoja1!$H$2:$I$45,2,0),"")</f>
        <v>Si</v>
      </c>
      <c r="G35" s="125" t="str">
        <f t="shared" si="0"/>
        <v>Existe requerimiento pero se requiere actividades  dirigidas a su mantenimiento dentro del marco de las lineas de defensa.</v>
      </c>
      <c r="H35" s="18"/>
      <c r="I35" s="139">
        <f t="shared" si="1"/>
        <v>1</v>
      </c>
      <c r="J35" s="263"/>
    </row>
    <row r="36" spans="1:10" ht="45" x14ac:dyDescent="0.25">
      <c r="A36" s="1"/>
      <c r="B36" s="1"/>
      <c r="C36" s="137">
        <v>18</v>
      </c>
      <c r="D36" s="279"/>
      <c r="E36" s="123" t="str">
        <f>+IFERROR(INDEX(Hoja1!$E$2:$E$45,MATCH('Análisis Resultados'!C36,Hoja1!$H$2:$H$45,0)),"")</f>
        <v>Informan de manera periódica a quien corresponda sobre el desempeño de las actividades de gestión de riesgos</v>
      </c>
      <c r="F36" s="124" t="str">
        <f>+IFERROR(VLOOKUP(C36,Hoja1!$H$2:$I$45,2,0),"")</f>
        <v>Si</v>
      </c>
      <c r="G36" s="125" t="str">
        <f t="shared" si="0"/>
        <v>Existe requerimiento pero se requiere actividades  dirigidas a su mantenimiento dentro del marco de las lineas de defensa.</v>
      </c>
      <c r="H36" s="18"/>
      <c r="I36" s="139">
        <f t="shared" si="1"/>
        <v>1</v>
      </c>
      <c r="J36" s="263"/>
    </row>
    <row r="37" spans="1:10" ht="57" customHeight="1" x14ac:dyDescent="0.25">
      <c r="A37" s="1"/>
      <c r="B37" s="1"/>
      <c r="C37" s="137">
        <v>19</v>
      </c>
      <c r="D37" s="279"/>
      <c r="E37" s="123" t="str">
        <f>+IFERROR(INDEX(Hoja1!$E$2:$E$45,MATCH('Análisis Resultados'!C37,Hoja1!$H$2:$H$45,0)),"")</f>
        <v>Identifican deficiencias en las maneras de  controlar los riesgos o problemas en sus procesos, programas o proyectos, y propone los ajustes necesarios</v>
      </c>
      <c r="F37" s="124" t="str">
        <f>+IFERROR(VLOOKUP(C37,Hoja1!$H$2:$I$45,2,0),"")</f>
        <v>Si</v>
      </c>
      <c r="G37" s="125" t="str">
        <f t="shared" si="0"/>
        <v>Existe requerimiento pero se requiere actividades  dirigidas a su mantenimiento dentro del marco de las lineas de defensa.</v>
      </c>
      <c r="H37" s="18"/>
      <c r="I37" s="139">
        <f t="shared" si="1"/>
        <v>1</v>
      </c>
      <c r="J37" s="263"/>
    </row>
    <row r="38" spans="1:10" ht="45" x14ac:dyDescent="0.25">
      <c r="A38" s="1"/>
      <c r="B38" s="1"/>
      <c r="C38" s="137">
        <v>20</v>
      </c>
      <c r="D38" s="279"/>
      <c r="E38" s="123" t="str">
        <f>+IFERROR(INDEX(Hoja1!$E$2:$E$45,MATCH('Análisis Resultados'!C38,Hoja1!$H$2:$H$45,0)),"")</f>
        <v>Se definen espacios de reunión para conocerlos y proponer acciones para su solución</v>
      </c>
      <c r="F38" s="124" t="str">
        <f>+IFERROR(VLOOKUP(C38,Hoja1!$H$2:$I$45,2,0),"")</f>
        <v>Si</v>
      </c>
      <c r="G38" s="125" t="str">
        <f t="shared" si="0"/>
        <v>Existe requerimiento pero se requiere actividades  dirigidas a su mantenimiento dentro del marco de las lineas de defensa.</v>
      </c>
      <c r="H38" s="18"/>
      <c r="I38" s="139">
        <f t="shared" si="1"/>
        <v>1</v>
      </c>
      <c r="J38" s="263"/>
    </row>
    <row r="39" spans="1:10" ht="45" x14ac:dyDescent="0.25">
      <c r="A39" s="1"/>
      <c r="B39" s="1"/>
      <c r="C39" s="137">
        <v>21</v>
      </c>
      <c r="D39" s="279"/>
      <c r="E39" s="123" t="str">
        <f>+IFERROR(INDEX(Hoja1!$E$2:$E$45,MATCH('Análisis Resultados'!C39,Hoja1!$H$2:$H$45,0)),"")</f>
        <v>Cada líder del equipo autónomamente toma las acciones para solucionarlos.</v>
      </c>
      <c r="F39" s="124" t="str">
        <f>+IFERROR(VLOOKUP(C39,Hoja1!$H$2:$I$45,2,0),"")</f>
        <v>Si</v>
      </c>
      <c r="G39" s="125" t="str">
        <f t="shared" si="0"/>
        <v>Existe requerimiento pero se requiere actividades  dirigidas a su mantenimiento dentro del marco de las lineas de defensa.</v>
      </c>
      <c r="H39" s="18"/>
      <c r="I39" s="139">
        <f t="shared" si="1"/>
        <v>1</v>
      </c>
      <c r="J39" s="263"/>
    </row>
    <row r="40" spans="1:10" ht="45.75" thickBot="1" x14ac:dyDescent="0.3">
      <c r="A40" s="1"/>
      <c r="B40" s="1"/>
      <c r="C40" s="137">
        <v>22</v>
      </c>
      <c r="D40" s="279"/>
      <c r="E40" s="129" t="str">
        <f>+IFERROR(INDEX(Hoja1!$E$2:$E$45,MATCH('Análisis Resultados'!C40,Hoja1!$H$2:$H$45,0)),"")</f>
        <v>Solamente hasta que un organismo de control actúa se definen acciones de mejora.</v>
      </c>
      <c r="F40" s="130" t="str">
        <f>+IFERROR(VLOOKUP(C40,Hoja1!$H$2:$I$45,2,0),"")</f>
        <v>Si</v>
      </c>
      <c r="G40" s="131" t="str">
        <f t="shared" si="0"/>
        <v>Existe requerimiento pero se requiere actividades  dirigidas a su mantenimiento dentro del marco de las lineas de defensa.</v>
      </c>
      <c r="H40" s="18"/>
      <c r="I40" s="141">
        <f t="shared" si="1"/>
        <v>1</v>
      </c>
      <c r="J40" s="263"/>
    </row>
    <row r="41" spans="1:10" ht="87.75" customHeight="1" x14ac:dyDescent="0.25">
      <c r="A41" s="1"/>
      <c r="B41" s="1"/>
      <c r="C41" s="137">
        <v>23</v>
      </c>
      <c r="D41" s="274" t="s">
        <v>79</v>
      </c>
      <c r="E41" s="120" t="str">
        <f>+IFERROR(INDEX(Hoja1!$E$2:$E$45,MATCH('Análisis Resultados'!C41,Hoja1!$H$2:$H$45,0)),"")</f>
        <v>La definición de acciones o actividades para para dar tratamiento a los problemas identificados (mitigación de riesgos), incluyendo aquellos asociados a posibles actos de corrupción</v>
      </c>
      <c r="F41" s="121" t="str">
        <f>+IFERROR(VLOOKUP(C41,Hoja1!$H$2:$I$45,2,0),"")</f>
        <v>Si</v>
      </c>
      <c r="G41" s="122" t="str">
        <f t="shared" si="0"/>
        <v>Existe requerimiento pero se requiere actividades  dirigidas a su mantenimiento dentro del marco de las lineas de defensa.</v>
      </c>
      <c r="H41" s="18"/>
      <c r="I41" s="138">
        <f t="shared" si="1"/>
        <v>1</v>
      </c>
      <c r="J41" s="262">
        <f>+AVERAGE(I41:I45)</f>
        <v>1</v>
      </c>
    </row>
    <row r="42" spans="1:10" ht="57" x14ac:dyDescent="0.25">
      <c r="A42" s="1"/>
      <c r="B42" s="1"/>
      <c r="C42" s="137">
        <v>24</v>
      </c>
      <c r="D42" s="275"/>
      <c r="E42" s="123" t="str">
        <f>+IFERROR(INDEX(Hoja1!$E$2:$E$45,MATCH('Análisis Resultados'!C42,Hoja1!$H$2:$H$45,0)),"")</f>
        <v>Mecanismos de verificación de si se están o no mitigando los riesgos, o en su defecto, elaboración de planes de contingencia para subsanar sus consecuencias</v>
      </c>
      <c r="F42" s="124" t="str">
        <f>+IFERROR(VLOOKUP(C42,Hoja1!$H$2:$I$45,2,0),"")</f>
        <v>Si</v>
      </c>
      <c r="G42" s="125" t="str">
        <f t="shared" si="0"/>
        <v>Existe requerimiento pero se requiere actividades  dirigidas a su mantenimiento dentro del marco de las lineas de defensa.</v>
      </c>
      <c r="H42" s="18"/>
      <c r="I42" s="139">
        <f t="shared" si="1"/>
        <v>1</v>
      </c>
      <c r="J42" s="263"/>
    </row>
    <row r="43" spans="1:10" ht="85.5" customHeight="1" x14ac:dyDescent="0.25">
      <c r="A43" s="1"/>
      <c r="B43" s="1"/>
      <c r="C43" s="137">
        <v>25</v>
      </c>
      <c r="D43" s="275"/>
      <c r="E43" s="123" t="str">
        <f>+IFERROR(INDEX(Hoja1!$E$2:$E$45,MATCH('Análisis Resultados'!C43,Hoja1!$H$2:$H$45,0)),"")</f>
        <v>Planes, acciones o estrategias que permitan subsanar las consecuencias de la materialización de los riesgos, cuando se presentan</v>
      </c>
      <c r="F43" s="124" t="str">
        <f>+IFERROR(VLOOKUP(C43,Hoja1!$H$2:$I$45,2,0),"")</f>
        <v>Si</v>
      </c>
      <c r="G43" s="125" t="str">
        <f t="shared" si="0"/>
        <v>Existe requerimiento pero se requiere actividades  dirigidas a su mantenimiento dentro del marco de las lineas de defensa.</v>
      </c>
      <c r="H43" s="18"/>
      <c r="I43" s="139">
        <f t="shared" si="1"/>
        <v>1</v>
      </c>
      <c r="J43" s="263"/>
    </row>
    <row r="44" spans="1:10" ht="57" customHeight="1" x14ac:dyDescent="0.25">
      <c r="A44" s="1"/>
      <c r="B44" s="1"/>
      <c r="C44" s="137">
        <v>26</v>
      </c>
      <c r="D44" s="275"/>
      <c r="E44" s="123"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4" t="str">
        <f>+IFERROR(VLOOKUP(C44,Hoja1!$H$2:$I$45,2,0),"")</f>
        <v>Si</v>
      </c>
      <c r="G44" s="125" t="str">
        <f t="shared" si="0"/>
        <v>Existe requerimiento pero se requiere actividades  dirigidas a su mantenimiento dentro del marco de las lineas de defensa.</v>
      </c>
      <c r="H44" s="18"/>
      <c r="I44" s="139">
        <f t="shared" si="1"/>
        <v>1</v>
      </c>
      <c r="J44" s="263"/>
    </row>
    <row r="45" spans="1:10" ht="57" customHeight="1" thickBot="1" x14ac:dyDescent="0.3">
      <c r="A45" s="1"/>
      <c r="B45" s="1"/>
      <c r="C45" s="137">
        <v>27</v>
      </c>
      <c r="D45" s="276"/>
      <c r="E45" s="126" t="str">
        <f>+IFERROR(INDEX(Hoja1!$E$2:$E$45,MATCH('Análisis Resultados'!C45,Hoja1!$H$2:$H$45,0)),"")</f>
        <v>Un plan anticorrupción y de servicio al ciudadano con los temas que le aplican, publicado en algún medio para conocimiento de la ciudadanía</v>
      </c>
      <c r="F45" s="127" t="str">
        <f>+IFERROR(VLOOKUP(C45,Hoja1!$H$2:$I$45,2,0),"")</f>
        <v>Si</v>
      </c>
      <c r="G45" s="128" t="str">
        <f t="shared" si="0"/>
        <v>Existe requerimiento pero se requiere actividades  dirigidas a su mantenimiento dentro del marco de las lineas de defensa.</v>
      </c>
      <c r="H45" s="18"/>
      <c r="I45" s="140">
        <f t="shared" si="1"/>
        <v>1</v>
      </c>
      <c r="J45" s="277"/>
    </row>
    <row r="46" spans="1:10" ht="63.75" customHeight="1" x14ac:dyDescent="0.25">
      <c r="A46" s="1"/>
      <c r="B46" s="1"/>
      <c r="C46" s="137">
        <v>28</v>
      </c>
      <c r="D46" s="273" t="s">
        <v>87</v>
      </c>
      <c r="E46" s="132" t="str">
        <f>+IFERROR(INDEX(Hoja1!$E$2:$E$45,MATCH('Análisis Resultados'!C46,Hoja1!$H$2:$H$45,0)),"")</f>
        <v xml:space="preserve">Lineamientos para dar tratamiento a la información de carácter reservado </v>
      </c>
      <c r="F46" s="133" t="str">
        <f>+IFERROR(VLOOKUP(C46,Hoja1!$H$2:$I$45,2,0),"")</f>
        <v>En proceso</v>
      </c>
      <c r="G46" s="134" t="str">
        <f t="shared" si="0"/>
        <v>Se encuentra en proceso, pero requiere continuar con acciones dirigidas a contar con dicho aspecto de control.</v>
      </c>
      <c r="H46" s="18"/>
      <c r="I46" s="142">
        <f t="shared" si="1"/>
        <v>0.5</v>
      </c>
      <c r="J46" s="263">
        <f>+AVERAGE(I46:I52)</f>
        <v>0.8571428571428571</v>
      </c>
    </row>
    <row r="47" spans="1:10" ht="92.25" customHeight="1" x14ac:dyDescent="0.25">
      <c r="A47" s="1"/>
      <c r="B47" s="1"/>
      <c r="C47" s="137">
        <v>29</v>
      </c>
      <c r="D47" s="273"/>
      <c r="E47" s="123" t="str">
        <f>+IFERROR(INDEX(Hoja1!$E$2:$E$45,MATCH('Análisis Resultados'!C47,Hoja1!$H$2:$H$45,0)),"")</f>
        <v>Si su capacidad e infraestructura lo permite, tecnologías de la información y las comunicaciones que soporten estos procesos</v>
      </c>
      <c r="F47" s="124" t="str">
        <f>+IFERROR(VLOOKUP(C47,Hoja1!$H$2:$I$45,2,0),"")</f>
        <v>En proceso</v>
      </c>
      <c r="G47" s="135" t="str">
        <f t="shared" si="0"/>
        <v>Se encuentra en proceso, pero requiere continuar con acciones dirigidas a contar con dicho aspecto de control.</v>
      </c>
      <c r="H47" s="18"/>
      <c r="I47" s="143">
        <f t="shared" si="1"/>
        <v>0.5</v>
      </c>
      <c r="J47" s="263"/>
    </row>
    <row r="48" spans="1:10" ht="66.75" customHeight="1" x14ac:dyDescent="0.25">
      <c r="A48" s="1"/>
      <c r="B48" s="1"/>
      <c r="C48" s="137">
        <v>30</v>
      </c>
      <c r="D48" s="273"/>
      <c r="E48" s="123" t="str">
        <f>+IFERROR(INDEX(Hoja1!$E$2:$E$45,MATCH('Análisis Resultados'!C48,Hoja1!$H$2:$H$45,0)),"")</f>
        <v>Responsables de la información institucional</v>
      </c>
      <c r="F48" s="124" t="str">
        <f>+IFERROR(VLOOKUP(C48,Hoja1!$H$2:$I$45,2,0),"")</f>
        <v>Si</v>
      </c>
      <c r="G48" s="135" t="str">
        <f t="shared" si="0"/>
        <v>Existe requerimiento pero se requiere actividades  dirigidas a su mantenimiento dentro del marco de las lineas de defensa.</v>
      </c>
      <c r="H48" s="18"/>
      <c r="I48" s="143">
        <f t="shared" si="1"/>
        <v>1</v>
      </c>
      <c r="J48" s="263"/>
    </row>
    <row r="49" spans="1:10" ht="60" customHeight="1" x14ac:dyDescent="0.25">
      <c r="A49" s="1"/>
      <c r="B49" s="1"/>
      <c r="C49" s="137">
        <v>31</v>
      </c>
      <c r="D49" s="273"/>
      <c r="E49" s="123" t="str">
        <f>+IFERROR(INDEX(Hoja1!$E$2:$E$45,MATCH('Análisis Resultados'!C49,Hoja1!$H$2:$H$45,0)),"")</f>
        <v>Canales de comunicación con los ciudadanos</v>
      </c>
      <c r="F49" s="124" t="str">
        <f>+IFERROR(VLOOKUP(C49,Hoja1!$H$2:$I$45,2,0),"")</f>
        <v>Si</v>
      </c>
      <c r="G49" s="135" t="str">
        <f t="shared" si="0"/>
        <v>Existe requerimiento pero se requiere actividades  dirigidas a su mantenimiento dentro del marco de las lineas de defensa.</v>
      </c>
      <c r="H49" s="18"/>
      <c r="I49" s="143">
        <f t="shared" si="1"/>
        <v>1</v>
      </c>
      <c r="J49" s="263"/>
    </row>
    <row r="50" spans="1:10" ht="57" customHeight="1" x14ac:dyDescent="0.25">
      <c r="A50" s="1"/>
      <c r="B50" s="1"/>
      <c r="C50" s="137">
        <v>32</v>
      </c>
      <c r="D50" s="273"/>
      <c r="E50" s="123" t="str">
        <f>+IFERROR(INDEX(Hoja1!$E$2:$E$45,MATCH('Análisis Resultados'!C50,Hoja1!$H$2:$H$45,0)),"")</f>
        <v>Canales de comunicación o mecanismos de reporte de información a otros organismos gubernamentales o de control</v>
      </c>
      <c r="F50" s="124" t="str">
        <f>+IFERROR(VLOOKUP(C50,Hoja1!$H$2:$I$45,2,0),"")</f>
        <v>Si</v>
      </c>
      <c r="G50" s="135" t="str">
        <f t="shared" si="0"/>
        <v>Existe requerimiento pero se requiere actividades  dirigidas a su mantenimiento dentro del marco de las lineas de defensa.</v>
      </c>
      <c r="H50" s="18"/>
      <c r="I50" s="143">
        <f t="shared" si="1"/>
        <v>1</v>
      </c>
      <c r="J50" s="263"/>
    </row>
    <row r="51" spans="1:10" ht="57" customHeight="1" x14ac:dyDescent="0.25">
      <c r="A51" s="1"/>
      <c r="B51" s="1"/>
      <c r="C51" s="137">
        <v>33</v>
      </c>
      <c r="D51" s="273"/>
      <c r="E51" s="123" t="str">
        <f>+IFERROR(INDEX(Hoja1!$E$2:$E$45,MATCH('Análisis Resultados'!C51,Hoja1!$H$2:$H$45,0)),"")</f>
        <v>Identificación de información que produce en el marco de su gestión (Para los ciudadanos, organismos de control, organismos gubernamentales, entre otros)</v>
      </c>
      <c r="F51" s="124" t="str">
        <f>+IFERROR(VLOOKUP(C51,Hoja1!$H$2:$I$45,2,0),"")</f>
        <v>Si</v>
      </c>
      <c r="G51" s="135" t="str">
        <f t="shared" si="0"/>
        <v>Existe requerimiento pero se requiere actividades  dirigidas a su mantenimiento dentro del marco de las lineas de defensa.</v>
      </c>
      <c r="H51" s="18"/>
      <c r="I51" s="143">
        <f t="shared" si="1"/>
        <v>1</v>
      </c>
      <c r="J51" s="263"/>
    </row>
    <row r="52" spans="1:10" ht="45.75" thickBot="1" x14ac:dyDescent="0.3">
      <c r="A52" s="1"/>
      <c r="B52" s="1"/>
      <c r="C52" s="137">
        <v>34</v>
      </c>
      <c r="D52" s="273"/>
      <c r="E52" s="129" t="str">
        <f>+IFERROR(INDEX(Hoja1!$E$2:$E$45,MATCH('Análisis Resultados'!C52,Hoja1!$H$2:$H$45,0)),"")</f>
        <v>Identificación de información necesaria para la operación de la entidad (normograma, presupuesto, talento humano, infraestructura física y tecnológica)</v>
      </c>
      <c r="F52" s="130" t="str">
        <f>+IFERROR(VLOOKUP(C52,Hoja1!$H$2:$I$45,2,0),"")</f>
        <v>Si</v>
      </c>
      <c r="G52" s="136" t="str">
        <f t="shared" si="0"/>
        <v>Existe requerimiento pero se requiere actividades  dirigidas a su mantenimiento dentro del marco de las lineas de defensa.</v>
      </c>
      <c r="H52" s="18"/>
      <c r="I52" s="144">
        <f t="shared" si="1"/>
        <v>1</v>
      </c>
      <c r="J52" s="263"/>
    </row>
    <row r="53" spans="1:10" ht="41.25" customHeight="1" x14ac:dyDescent="0.25">
      <c r="A53" s="1"/>
      <c r="B53" s="1"/>
      <c r="C53" s="137">
        <v>35</v>
      </c>
      <c r="D53" s="267" t="s">
        <v>97</v>
      </c>
      <c r="E53" s="120" t="str">
        <f>+IFERROR(INDEX(Hoja1!$E$2:$E$45,MATCH('Análisis Resultados'!C53,Hoja1!$H$2:$H$45,0)),"")</f>
        <v>La entidad participa en el  Comité Municipal de Auditoría?</v>
      </c>
      <c r="F53" s="121" t="str">
        <f>+IFERROR(VLOOKUP(C53,Hoja1!$H$2:$I$45,2,0),"")</f>
        <v>No</v>
      </c>
      <c r="G53" s="122" t="str">
        <f t="shared" si="0"/>
        <v>No se encuentra el aspecto  por lo tanto la entidad debera generar acciones dirigidas a que se cumpla con el requerimiento.</v>
      </c>
      <c r="H53" s="18"/>
      <c r="I53" s="138">
        <f t="shared" si="1"/>
        <v>0</v>
      </c>
      <c r="J53" s="270">
        <f>+AVERAGE(I53:I62)</f>
        <v>0.9</v>
      </c>
    </row>
    <row r="54" spans="1:10" ht="58.5" customHeight="1" x14ac:dyDescent="0.25">
      <c r="A54" s="1"/>
      <c r="B54" s="1"/>
      <c r="C54" s="137">
        <v>36</v>
      </c>
      <c r="D54" s="268"/>
      <c r="E54" s="123" t="str">
        <f>+IFERROR(INDEX(Hoja1!$E$2:$E$45,MATCH('Análisis Resultados'!C54,Hoja1!$H$2:$H$45,0)),"")</f>
        <v>Mecanismos de evaluación de la gestión (cronogramas, indicadores, listas de chequeo u otros)</v>
      </c>
      <c r="F54" s="124" t="str">
        <f>+IFERROR(VLOOKUP(C54,Hoja1!$H$2:$I$45,2,0),"")</f>
        <v>Si</v>
      </c>
      <c r="G54" s="125" t="str">
        <f t="shared" si="0"/>
        <v>Existe requerimiento pero se requiere actividades  dirigidas a su mantenimiento dentro del marco de las lineas de defensa.</v>
      </c>
      <c r="H54" s="18"/>
      <c r="I54" s="139">
        <f t="shared" si="1"/>
        <v>1</v>
      </c>
      <c r="J54" s="271"/>
    </row>
    <row r="55" spans="1:10" s="1" customFormat="1" ht="84.75" customHeight="1" x14ac:dyDescent="0.25">
      <c r="C55" s="137">
        <v>37</v>
      </c>
      <c r="D55" s="268"/>
      <c r="E55" s="123" t="str">
        <f>+IFERROR(INDEX(Hoja1!$E$2:$E$45,MATCH('Análisis Resultados'!C55,Hoja1!$H$2:$H$45,0)),"")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5" s="124" t="str">
        <f>+IFERROR(VLOOKUP(C55,Hoja1!$H$2:$I$45,2,0),"")</f>
        <v>Si</v>
      </c>
      <c r="G55" s="125" t="str">
        <f t="shared" si="0"/>
        <v>Existe requerimiento pero se requiere actividades  dirigidas a su mantenimiento dentro del marco de las lineas de defensa.</v>
      </c>
      <c r="H55" s="6"/>
      <c r="I55" s="139">
        <f t="shared" si="1"/>
        <v>1</v>
      </c>
      <c r="J55" s="271"/>
    </row>
    <row r="56" spans="1:10" s="1" customFormat="1" ht="78.75" customHeight="1" x14ac:dyDescent="0.25">
      <c r="C56" s="137">
        <v>38</v>
      </c>
      <c r="D56" s="268"/>
      <c r="E56" s="123" t="str">
        <f>+IFERROR(INDEX(Hoja1!$E$2:$E$45,MATCH('Análisis Resultados'!C56,Hoja1!$H$2:$H$45,0)),"")</f>
        <v>Medidas correctivas en caso de detectarse deficiencias en los ejercicios de evaluación, seguimiento o auditoría</v>
      </c>
      <c r="F56" s="124" t="str">
        <f>+IFERROR(VLOOKUP(C56,Hoja1!$H$2:$I$45,2,0),"")</f>
        <v>Si</v>
      </c>
      <c r="G56" s="125" t="str">
        <f t="shared" si="0"/>
        <v>Existe requerimiento pero se requiere actividades  dirigidas a su mantenimiento dentro del marco de las lineas de defensa.</v>
      </c>
      <c r="H56" s="6"/>
      <c r="I56" s="139">
        <f t="shared" si="1"/>
        <v>1</v>
      </c>
      <c r="J56" s="271"/>
    </row>
    <row r="57" spans="1:10" s="1" customFormat="1" ht="54.75" customHeight="1" x14ac:dyDescent="0.25">
      <c r="C57" s="137">
        <v>39</v>
      </c>
      <c r="D57" s="268"/>
      <c r="E57" s="123" t="str">
        <f>+IFERROR(INDEX(Hoja1!$E$2:$E$45,MATCH('Análisis Resultados'!C57,Hoja1!$H$2:$H$45,0)),"")</f>
        <v>Seguimiento a los planes de mejoramiento suscritos con instancias de control internas o externas</v>
      </c>
      <c r="F57" s="124" t="str">
        <f>+IFERROR(VLOOKUP(C57,Hoja1!$H$2:$I$45,2,0),"")</f>
        <v>Si</v>
      </c>
      <c r="G57" s="125" t="str">
        <f t="shared" si="0"/>
        <v>Existe requerimiento pero se requiere actividades  dirigidas a su mantenimiento dentro del marco de las lineas de defensa.</v>
      </c>
      <c r="H57" s="6"/>
      <c r="I57" s="139">
        <f t="shared" si="1"/>
        <v>1</v>
      </c>
      <c r="J57" s="271"/>
    </row>
    <row r="58" spans="1:10" s="1" customFormat="1" ht="68.25" customHeight="1" x14ac:dyDescent="0.25">
      <c r="C58" s="137">
        <v>40</v>
      </c>
      <c r="D58" s="268"/>
      <c r="E58" s="123" t="str">
        <f>+IFERROR(INDEX(Hoja1!$E$2:$E$45,MATCH('Análisis Resultados'!C58,Hoja1!$H$2:$H$45,0)),"")</f>
        <v>Evitar que los problemas (riesgos) obstaculicen el cumplimiento de los objetivos.</v>
      </c>
      <c r="F58" s="124" t="str">
        <f>+IFERROR(VLOOKUP(C58,Hoja1!$H$2:$I$45,2,0),"")</f>
        <v>Si</v>
      </c>
      <c r="G58" s="125" t="str">
        <f t="shared" si="0"/>
        <v>Existe requerimiento pero se requiere actividades  dirigidas a su mantenimiento dentro del marco de las lineas de defensa.</v>
      </c>
      <c r="H58" s="6"/>
      <c r="I58" s="139">
        <f t="shared" si="1"/>
        <v>1</v>
      </c>
      <c r="J58" s="271"/>
    </row>
    <row r="59" spans="1:10" s="1" customFormat="1" ht="45" customHeight="1" x14ac:dyDescent="0.25">
      <c r="C59" s="137">
        <v>41</v>
      </c>
      <c r="D59" s="268"/>
      <c r="E59" s="123" t="str">
        <f>+IFERROR(INDEX(Hoja1!$E$2:$E$45,MATCH('Análisis Resultados'!C59,Hoja1!$H$2:$H$45,0)),"")</f>
        <v>Controlar los puntos críticos en los procesos.</v>
      </c>
      <c r="F59" s="124" t="str">
        <f>+IFERROR(VLOOKUP(C59,Hoja1!$H$2:$I$45,2,0),"")</f>
        <v>Si</v>
      </c>
      <c r="G59" s="125" t="str">
        <f t="shared" si="0"/>
        <v>Existe requerimiento pero se requiere actividades  dirigidas a su mantenimiento dentro del marco de las lineas de defensa.</v>
      </c>
      <c r="H59" s="6"/>
      <c r="I59" s="139">
        <f t="shared" si="1"/>
        <v>1</v>
      </c>
      <c r="J59" s="271"/>
    </row>
    <row r="60" spans="1:10" s="1" customFormat="1" ht="51.75" customHeight="1" x14ac:dyDescent="0.25">
      <c r="C60" s="137">
        <v>42</v>
      </c>
      <c r="D60" s="268"/>
      <c r="E60" s="123" t="str">
        <f>+IFERROR(INDEX(Hoja1!$E$2:$E$45,MATCH('Análisis Resultados'!C60,Hoja1!$H$2:$H$45,0)),"")</f>
        <v>Diseñar acciones adecuadas para controlar los problemas que afectan el cumplimiento de las metas y objetivos institucionales (riesgos).</v>
      </c>
      <c r="F60" s="124" t="str">
        <f>+IFERROR(VLOOKUP(C60,Hoja1!$H$2:$I$45,2,0),"")</f>
        <v>Si</v>
      </c>
      <c r="G60" s="125" t="str">
        <f t="shared" si="0"/>
        <v>Existe requerimiento pero se requiere actividades  dirigidas a su mantenimiento dentro del marco de las lineas de defensa.</v>
      </c>
      <c r="H60" s="6"/>
      <c r="I60" s="139">
        <f t="shared" si="1"/>
        <v>1</v>
      </c>
      <c r="J60" s="271"/>
    </row>
    <row r="61" spans="1:10" s="1" customFormat="1" ht="84" customHeight="1" x14ac:dyDescent="0.25">
      <c r="C61" s="137">
        <v>43</v>
      </c>
      <c r="D61" s="268"/>
      <c r="E61" s="123" t="str">
        <f>+IFERROR(INDEX(Hoja1!$E$2:$E$45,MATCH('Análisis Resultados'!C61,Hoja1!$H$2:$H$45,0)),"")</f>
        <v>Ejecutar las acciones de acuerdo a como se diseñaron previamente.</v>
      </c>
      <c r="F61" s="124" t="str">
        <f>+IFERROR(VLOOKUP(C61,Hoja1!$H$2:$I$45,2,0),"")</f>
        <v>Si</v>
      </c>
      <c r="G61" s="125" t="str">
        <f t="shared" si="0"/>
        <v>Existe requerimiento pero se requiere actividades  dirigidas a su mantenimiento dentro del marco de las lineas de defensa.</v>
      </c>
      <c r="H61" s="6"/>
      <c r="I61" s="139">
        <f t="shared" si="1"/>
        <v>1</v>
      </c>
      <c r="J61" s="271"/>
    </row>
    <row r="62" spans="1:10" s="1" customFormat="1" ht="60" customHeight="1" thickBot="1" x14ac:dyDescent="0.3">
      <c r="C62" s="137">
        <v>44</v>
      </c>
      <c r="D62" s="269"/>
      <c r="E62" s="126" t="str">
        <f>+IFERROR(INDEX(Hoja1!$E$2:$E$45,MATCH('Análisis Resultados'!C62,Hoja1!$H$2:$H$45,0)),"")</f>
        <v>No se gestionan los problemas que afectan el cumplimiento de las funciones y objetivos institucionales(riesgos).</v>
      </c>
      <c r="F62" s="127" t="str">
        <f>+IFERROR(VLOOKUP(C62,Hoja1!$H$2:$I$45,2,0),"")</f>
        <v>Si</v>
      </c>
      <c r="G62" s="128" t="str">
        <f t="shared" si="0"/>
        <v>Existe requerimiento pero se requiere actividades  dirigidas a su mantenimiento dentro del marco de las lineas de defensa.</v>
      </c>
      <c r="H62" s="6"/>
      <c r="I62" s="140">
        <f t="shared" si="1"/>
        <v>1</v>
      </c>
      <c r="J62" s="272"/>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topLeftCell="E31" zoomScale="62" zoomScaleNormal="62" workbookViewId="0">
      <selection activeCell="I40" sqref="I40"/>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00" t="s">
        <v>124</v>
      </c>
      <c r="F4" s="302" t="s">
        <v>210</v>
      </c>
      <c r="G4" s="302"/>
      <c r="H4" s="302"/>
      <c r="I4" s="302"/>
      <c r="J4" s="302"/>
      <c r="K4" s="302"/>
      <c r="L4" s="302"/>
      <c r="M4" s="302"/>
      <c r="N4" s="7"/>
      <c r="O4" s="7"/>
      <c r="P4" s="8"/>
      <c r="Q4" s="1"/>
    </row>
    <row r="5" spans="1:17" ht="45.75" customHeight="1" x14ac:dyDescent="0.3">
      <c r="A5" s="1"/>
      <c r="B5" s="5"/>
      <c r="C5" s="6"/>
      <c r="D5" s="6"/>
      <c r="E5" s="301"/>
      <c r="F5" s="302"/>
      <c r="G5" s="302"/>
      <c r="H5" s="302"/>
      <c r="I5" s="302"/>
      <c r="J5" s="302"/>
      <c r="K5" s="302"/>
      <c r="L5" s="302"/>
      <c r="M5" s="302"/>
      <c r="N5" s="7"/>
      <c r="O5" s="7"/>
      <c r="P5" s="8"/>
      <c r="Q5" s="1"/>
    </row>
    <row r="6" spans="1:17" ht="66.75" customHeight="1" x14ac:dyDescent="0.3">
      <c r="A6" s="1"/>
      <c r="B6" s="5"/>
      <c r="C6" s="6"/>
      <c r="D6" s="6"/>
      <c r="E6" s="96" t="s">
        <v>125</v>
      </c>
      <c r="F6" s="303" t="s">
        <v>233</v>
      </c>
      <c r="G6" s="304"/>
      <c r="H6" s="304"/>
      <c r="I6" s="304"/>
      <c r="J6" s="304"/>
      <c r="K6" s="304"/>
      <c r="L6" s="304"/>
      <c r="M6" s="305"/>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06" t="s">
        <v>126</v>
      </c>
      <c r="J8" s="307"/>
      <c r="K8" s="308"/>
      <c r="L8" s="6"/>
      <c r="M8" s="145">
        <f>+AVERAGE(G26,G28,G30,G32,G34)</f>
        <v>0.89976190476190487</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09" t="s">
        <v>127</v>
      </c>
      <c r="D18" s="310"/>
      <c r="E18" s="310"/>
      <c r="F18" s="310"/>
      <c r="G18" s="310"/>
      <c r="H18" s="310"/>
      <c r="I18" s="310"/>
      <c r="J18" s="310"/>
      <c r="K18" s="310"/>
      <c r="L18" s="310"/>
      <c r="M18" s="311"/>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12" t="s">
        <v>128</v>
      </c>
      <c r="D20" s="313"/>
      <c r="E20" s="148" t="s">
        <v>76</v>
      </c>
      <c r="F20" s="314" t="s">
        <v>234</v>
      </c>
      <c r="G20" s="314"/>
      <c r="H20" s="314"/>
      <c r="I20" s="314"/>
      <c r="J20" s="314"/>
      <c r="K20" s="314"/>
      <c r="L20" s="314"/>
      <c r="M20" s="315"/>
      <c r="N20" s="15"/>
      <c r="O20" s="15"/>
      <c r="P20" s="8"/>
      <c r="Q20" s="1"/>
    </row>
    <row r="21" spans="1:17" ht="126.75" customHeight="1" x14ac:dyDescent="0.25">
      <c r="A21" s="1"/>
      <c r="B21" s="5"/>
      <c r="C21" s="296" t="s">
        <v>129</v>
      </c>
      <c r="D21" s="297"/>
      <c r="E21" s="149" t="s">
        <v>39</v>
      </c>
      <c r="F21" s="316" t="s">
        <v>211</v>
      </c>
      <c r="G21" s="316"/>
      <c r="H21" s="316"/>
      <c r="I21" s="316"/>
      <c r="J21" s="316"/>
      <c r="K21" s="316"/>
      <c r="L21" s="316"/>
      <c r="M21" s="317"/>
      <c r="N21" s="15"/>
      <c r="O21" s="15"/>
      <c r="P21" s="8"/>
      <c r="Q21" s="1"/>
    </row>
    <row r="22" spans="1:17" ht="151.5" customHeight="1" thickBot="1" x14ac:dyDescent="0.3">
      <c r="A22" s="1"/>
      <c r="B22" s="5"/>
      <c r="C22" s="298" t="s">
        <v>130</v>
      </c>
      <c r="D22" s="299"/>
      <c r="E22" s="150" t="s">
        <v>39</v>
      </c>
      <c r="F22" s="318" t="s">
        <v>212</v>
      </c>
      <c r="G22" s="318"/>
      <c r="H22" s="318"/>
      <c r="I22" s="318"/>
      <c r="J22" s="318"/>
      <c r="K22" s="318"/>
      <c r="L22" s="318"/>
      <c r="M22" s="319"/>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131</v>
      </c>
      <c r="D24" s="100"/>
      <c r="E24" s="99" t="s">
        <v>132</v>
      </c>
      <c r="F24" s="100"/>
      <c r="G24" s="99" t="s">
        <v>133</v>
      </c>
      <c r="H24" s="100"/>
      <c r="I24" s="324" t="s">
        <v>134</v>
      </c>
      <c r="J24" s="324"/>
      <c r="K24" s="324"/>
      <c r="L24" s="324"/>
      <c r="M24" s="324"/>
      <c r="N24" s="33"/>
      <c r="O24" s="33"/>
      <c r="P24" s="8"/>
      <c r="Q24" s="17"/>
    </row>
    <row r="25" spans="1:17" ht="13.5" customHeight="1" thickBot="1" x14ac:dyDescent="0.3">
      <c r="A25" s="1"/>
      <c r="B25" s="5"/>
      <c r="C25" s="32"/>
      <c r="D25" s="18"/>
      <c r="E25" s="18"/>
      <c r="F25" s="18"/>
      <c r="G25" s="18"/>
      <c r="H25" s="18"/>
      <c r="I25" s="328"/>
      <c r="J25" s="328"/>
      <c r="K25" s="328"/>
      <c r="L25" s="328"/>
      <c r="M25" s="328"/>
      <c r="N25" s="34"/>
      <c r="O25" s="34"/>
      <c r="P25" s="8"/>
      <c r="Q25" s="1"/>
    </row>
    <row r="26" spans="1:17" ht="155.25" customHeight="1" thickBot="1" x14ac:dyDescent="0.3">
      <c r="A26" s="1"/>
      <c r="B26" s="5"/>
      <c r="C26" s="90" t="s">
        <v>32</v>
      </c>
      <c r="D26" s="19"/>
      <c r="E26" s="146" t="str">
        <f>+IF(Hoja1!K2&gt;=0.5,"Si","No")</f>
        <v>Si</v>
      </c>
      <c r="F26" s="20"/>
      <c r="G26" s="147">
        <f>+Hoja1!K2</f>
        <v>0.79166666666666663</v>
      </c>
      <c r="H26" s="20"/>
      <c r="I26" s="325" t="s">
        <v>213</v>
      </c>
      <c r="J26" s="326"/>
      <c r="K26" s="326"/>
      <c r="L26" s="326"/>
      <c r="M26" s="327"/>
      <c r="N26" s="35"/>
      <c r="O26" s="36"/>
      <c r="P26" s="21"/>
      <c r="Q26" s="22"/>
    </row>
    <row r="27" spans="1:17" ht="27" thickBot="1" x14ac:dyDescent="0.45">
      <c r="A27" s="1"/>
      <c r="B27" s="5"/>
      <c r="C27" s="91"/>
      <c r="D27" s="23"/>
      <c r="E27" s="98"/>
      <c r="F27" s="18"/>
      <c r="G27" s="24"/>
      <c r="H27" s="18"/>
      <c r="I27" s="329"/>
      <c r="J27" s="329"/>
      <c r="K27" s="329"/>
      <c r="L27" s="329"/>
      <c r="M27" s="329"/>
      <c r="N27" s="37"/>
      <c r="O27" s="37"/>
      <c r="P27" s="8"/>
      <c r="Q27" s="1"/>
    </row>
    <row r="28" spans="1:17" ht="111.75" customHeight="1" thickBot="1" x14ac:dyDescent="0.3">
      <c r="A28" s="1"/>
      <c r="B28" s="5"/>
      <c r="C28" s="92" t="s">
        <v>135</v>
      </c>
      <c r="D28" s="19"/>
      <c r="E28" s="146" t="str">
        <f>+IF(Hoja1!K14&gt;=0.5,"Si","No")</f>
        <v>Si</v>
      </c>
      <c r="F28" s="18"/>
      <c r="G28" s="147">
        <f>+Hoja1!K14</f>
        <v>0.95</v>
      </c>
      <c r="H28" s="18"/>
      <c r="I28" s="320" t="s">
        <v>235</v>
      </c>
      <c r="J28" s="321"/>
      <c r="K28" s="321"/>
      <c r="L28" s="321"/>
      <c r="M28" s="322"/>
      <c r="N28" s="35"/>
      <c r="O28" s="35"/>
      <c r="P28" s="8"/>
      <c r="Q28" s="1"/>
    </row>
    <row r="29" spans="1:17" ht="27" thickBot="1" x14ac:dyDescent="0.45">
      <c r="A29" s="1"/>
      <c r="B29" s="5"/>
      <c r="C29" s="91"/>
      <c r="D29" s="23"/>
      <c r="E29" s="98"/>
      <c r="F29" s="18"/>
      <c r="G29" s="24"/>
      <c r="H29" s="18"/>
      <c r="I29" s="329"/>
      <c r="J29" s="329"/>
      <c r="K29" s="329"/>
      <c r="L29" s="329"/>
      <c r="M29" s="329"/>
      <c r="N29" s="37"/>
      <c r="O29" s="37"/>
      <c r="P29" s="8"/>
      <c r="Q29" s="1"/>
    </row>
    <row r="30" spans="1:17" ht="123" customHeight="1" thickBot="1" x14ac:dyDescent="0.3">
      <c r="A30" s="1"/>
      <c r="B30" s="5"/>
      <c r="C30" s="93" t="s">
        <v>136</v>
      </c>
      <c r="D30" s="19"/>
      <c r="E30" s="146" t="str">
        <f>+IF(Hoja1!K24&gt;=0.5,"Si","No")</f>
        <v>Si</v>
      </c>
      <c r="F30" s="18"/>
      <c r="G30" s="147">
        <f>+Hoja1!K24</f>
        <v>1</v>
      </c>
      <c r="H30" s="18"/>
      <c r="I30" s="323" t="s">
        <v>214</v>
      </c>
      <c r="J30" s="321"/>
      <c r="K30" s="321"/>
      <c r="L30" s="321"/>
      <c r="M30" s="322"/>
      <c r="N30" s="35"/>
      <c r="O30" s="35"/>
      <c r="P30" s="8"/>
      <c r="Q30" s="1"/>
    </row>
    <row r="31" spans="1:17" ht="27" thickBot="1" x14ac:dyDescent="0.45">
      <c r="A31" s="1"/>
      <c r="B31" s="5"/>
      <c r="C31" s="91"/>
      <c r="D31" s="23"/>
      <c r="E31" s="98"/>
      <c r="F31" s="18"/>
      <c r="G31" s="24"/>
      <c r="H31" s="18"/>
      <c r="I31" s="329"/>
      <c r="J31" s="329"/>
      <c r="K31" s="329"/>
      <c r="L31" s="329"/>
      <c r="M31" s="329"/>
      <c r="N31" s="37"/>
      <c r="O31" s="37"/>
      <c r="P31" s="8"/>
      <c r="Q31" s="1"/>
    </row>
    <row r="32" spans="1:17" ht="171" customHeight="1" thickBot="1" x14ac:dyDescent="0.3">
      <c r="A32" s="1"/>
      <c r="B32" s="5"/>
      <c r="C32" s="94" t="s">
        <v>87</v>
      </c>
      <c r="D32" s="19"/>
      <c r="E32" s="146" t="str">
        <f>+IF(Hoja1!K29&gt;=0.5,"Si","No")</f>
        <v>Si</v>
      </c>
      <c r="F32" s="18"/>
      <c r="G32" s="147">
        <f>+Hoja1!K29</f>
        <v>0.8571428571428571</v>
      </c>
      <c r="H32" s="18"/>
      <c r="I32" s="320" t="s">
        <v>215</v>
      </c>
      <c r="J32" s="321"/>
      <c r="K32" s="321"/>
      <c r="L32" s="321"/>
      <c r="M32" s="322"/>
      <c r="N32" s="35"/>
      <c r="O32" s="35"/>
      <c r="P32" s="8"/>
      <c r="Q32" s="1"/>
    </row>
    <row r="33" spans="1:17" ht="27" thickBot="1" x14ac:dyDescent="0.45">
      <c r="A33" s="1"/>
      <c r="B33" s="5"/>
      <c r="C33" s="91"/>
      <c r="D33" s="23"/>
      <c r="E33" s="98"/>
      <c r="F33" s="18"/>
      <c r="G33" s="24"/>
      <c r="H33" s="18"/>
      <c r="I33" s="329"/>
      <c r="J33" s="329"/>
      <c r="K33" s="329"/>
      <c r="L33" s="329"/>
      <c r="M33" s="329"/>
      <c r="N33" s="37"/>
      <c r="O33" s="37"/>
      <c r="P33" s="8"/>
      <c r="Q33" s="1"/>
    </row>
    <row r="34" spans="1:17" ht="164.25" customHeight="1" thickBot="1" x14ac:dyDescent="0.3">
      <c r="A34" s="1"/>
      <c r="B34" s="5"/>
      <c r="C34" s="95" t="s">
        <v>137</v>
      </c>
      <c r="D34" s="19"/>
      <c r="E34" s="97" t="str">
        <f>+IF(Hoja1!K36&gt;=0.5,"Si","No")</f>
        <v>Si</v>
      </c>
      <c r="F34" s="18"/>
      <c r="G34" s="147">
        <f>+Hoja1!K36</f>
        <v>0.9</v>
      </c>
      <c r="H34" s="18"/>
      <c r="I34" s="320" t="s">
        <v>216</v>
      </c>
      <c r="J34" s="321"/>
      <c r="K34" s="321"/>
      <c r="L34" s="321"/>
      <c r="M34" s="322"/>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'C:\Users\dell\Desktop\cesar\HISTORICOS\[2020-04-22_Formato_informe_sci_parametrizado_final.xlsx]Analisis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1" t="s">
        <v>25</v>
      </c>
      <c r="B1" s="151" t="s">
        <v>6</v>
      </c>
      <c r="C1" s="152" t="s">
        <v>8</v>
      </c>
      <c r="D1" s="153" t="s">
        <v>26</v>
      </c>
      <c r="E1" s="153" t="s">
        <v>27</v>
      </c>
      <c r="F1" s="153" t="s">
        <v>138</v>
      </c>
      <c r="G1" s="154" t="s">
        <v>139</v>
      </c>
      <c r="H1" s="154" t="s">
        <v>140</v>
      </c>
      <c r="I1" s="154" t="s">
        <v>119</v>
      </c>
      <c r="J1" s="154" t="s">
        <v>141</v>
      </c>
      <c r="K1" s="154" t="s">
        <v>142</v>
      </c>
    </row>
    <row r="2" spans="1:11" x14ac:dyDescent="0.25">
      <c r="A2" s="155" t="s">
        <v>143</v>
      </c>
      <c r="B2" s="155" t="str">
        <f>+VLOOKUP(A2,'Estado SCI'!$A$16:$C$59,3,0)</f>
        <v>AMBIENTE DE CONTROL</v>
      </c>
      <c r="C2" s="155" t="s">
        <v>33</v>
      </c>
      <c r="D2" s="155" t="s">
        <v>34</v>
      </c>
      <c r="E2" s="155" t="s">
        <v>35</v>
      </c>
      <c r="F2" s="155" t="str">
        <f>+VLOOKUP(A2,'Estado SCI'!$A$16:$I$59,9,0)</f>
        <v>Mantenimiento del control</v>
      </c>
      <c r="G2" s="155">
        <f>+VLOOKUP(A2,'Estado SCI'!$A$16:$L$59,12,0)</f>
        <v>20.123000000000001</v>
      </c>
      <c r="H2" s="155">
        <f t="shared" ref="H2:H45" si="0">+_xlfn.RANK.EQ(G2,$G$2:$G$45,1)</f>
        <v>5</v>
      </c>
      <c r="I2" s="155" t="str">
        <f>+IF(VLOOKUP(A2,'Estado SCI'!$A$16:$G$59,7,0)="","",VLOOKUP(A2,'Estado SCI'!$A$16:$G$59,7,0))</f>
        <v>Si</v>
      </c>
      <c r="J2" s="156">
        <f>+IF(I2="Si",1,IF(I2="En proceso",0.5,0))</f>
        <v>1</v>
      </c>
      <c r="K2" s="157">
        <f t="shared" ref="K2:K45" si="1">+AVERAGEIF($B$2:$B$45,B2,$J$2:$J$45)</f>
        <v>0.79166666666666663</v>
      </c>
    </row>
    <row r="3" spans="1:11" x14ac:dyDescent="0.25">
      <c r="A3" s="155" t="s">
        <v>144</v>
      </c>
      <c r="B3" s="155" t="s">
        <v>32</v>
      </c>
      <c r="C3" s="155" t="s">
        <v>33</v>
      </c>
      <c r="D3" s="155" t="s">
        <v>37</v>
      </c>
      <c r="E3" s="155" t="s">
        <v>38</v>
      </c>
      <c r="F3" s="155" t="str">
        <f>+VLOOKUP(A3,'Estado SCI'!$A$16:$I$59,9,0)</f>
        <v>Mantenimiento del control</v>
      </c>
      <c r="G3" s="155">
        <f>+VLOOKUP(A3,'Estado SCI'!$A$16:$L$59,12,0)</f>
        <v>20.1234</v>
      </c>
      <c r="H3" s="155">
        <f t="shared" si="0"/>
        <v>6</v>
      </c>
      <c r="I3" s="155" t="str">
        <f>+IF(VLOOKUP(A3,'Estado SCI'!$A$16:$G$59,7,0)="","",VLOOKUP(A3,'Estado SCI'!$A$16:$G$59,7,0))</f>
        <v>Si</v>
      </c>
      <c r="J3" s="156">
        <f t="shared" ref="J3:J45" si="2">+IF(I3="Si",1,IF(I3="En proceso",0.5,0))</f>
        <v>1</v>
      </c>
      <c r="K3" s="157">
        <f t="shared" si="1"/>
        <v>0.79166666666666663</v>
      </c>
    </row>
    <row r="4" spans="1:11" x14ac:dyDescent="0.25">
      <c r="A4" s="155" t="s">
        <v>145</v>
      </c>
      <c r="B4" s="155" t="s">
        <v>32</v>
      </c>
      <c r="C4" s="155" t="s">
        <v>33</v>
      </c>
      <c r="D4" s="155" t="s">
        <v>40</v>
      </c>
      <c r="E4" s="155" t="s">
        <v>41</v>
      </c>
      <c r="F4" s="155" t="str">
        <f>+VLOOKUP(A4,'Estado SCI'!$A$16:$I$59,9,0)</f>
        <v>Mantenimiento del control</v>
      </c>
      <c r="G4" s="155">
        <f>+VLOOKUP(A4,'Estado SCI'!$A$16:$L$59,12,0)</f>
        <v>20.123449999999998</v>
      </c>
      <c r="H4" s="155">
        <f t="shared" si="0"/>
        <v>7</v>
      </c>
      <c r="I4" s="155" t="str">
        <f>+IF(VLOOKUP(A4,'Estado SCI'!$A$16:$G$59,7,0)="","",VLOOKUP(A4,'Estado SCI'!$A$16:$G$59,7,0))</f>
        <v>Si</v>
      </c>
      <c r="J4" s="156">
        <f t="shared" si="2"/>
        <v>1</v>
      </c>
      <c r="K4" s="157">
        <f t="shared" si="1"/>
        <v>0.79166666666666663</v>
      </c>
    </row>
    <row r="5" spans="1:11" x14ac:dyDescent="0.25">
      <c r="A5" s="155" t="s">
        <v>146</v>
      </c>
      <c r="B5" s="155" t="s">
        <v>32</v>
      </c>
      <c r="C5" s="155" t="s">
        <v>33</v>
      </c>
      <c r="D5" s="155" t="s">
        <v>42</v>
      </c>
      <c r="E5" s="155" t="s">
        <v>43</v>
      </c>
      <c r="F5" s="155" t="str">
        <f>+VLOOKUP(A5,'Estado SCI'!$A$16:$I$59,9,0)</f>
        <v>Mantenimiento del control</v>
      </c>
      <c r="G5" s="155">
        <f>+VLOOKUP(A5,'Estado SCI'!$A$16:$L$59,12,0)</f>
        <v>20.123456000000001</v>
      </c>
      <c r="H5" s="155">
        <f t="shared" si="0"/>
        <v>8</v>
      </c>
      <c r="I5" s="155" t="str">
        <f>+IF(VLOOKUP(A5,'Estado SCI'!$A$16:$G$59,7,0)="","",VLOOKUP(A5,'Estado SCI'!$A$16:$G$59,7,0))</f>
        <v>Si</v>
      </c>
      <c r="J5" s="156">
        <f t="shared" si="2"/>
        <v>1</v>
      </c>
      <c r="K5" s="157">
        <f t="shared" si="1"/>
        <v>0.79166666666666663</v>
      </c>
    </row>
    <row r="6" spans="1:11" x14ac:dyDescent="0.25">
      <c r="A6" s="155" t="s">
        <v>147</v>
      </c>
      <c r="B6" s="155" t="s">
        <v>32</v>
      </c>
      <c r="C6" s="155" t="s">
        <v>33</v>
      </c>
      <c r="D6" s="155" t="s">
        <v>44</v>
      </c>
      <c r="E6" s="155" t="s">
        <v>45</v>
      </c>
      <c r="F6" s="155" t="str">
        <f>+VLOOKUP(A6,'Estado SCI'!$A$16:$I$59,9,0)</f>
        <v>Mantenimiento del control</v>
      </c>
      <c r="G6" s="155">
        <f>+VLOOKUP(A6,'Estado SCI'!$A$16:$L$59,12,0)</f>
        <v>20.123456780000001</v>
      </c>
      <c r="H6" s="155">
        <f t="shared" si="0"/>
        <v>9</v>
      </c>
      <c r="I6" s="155" t="str">
        <f>+IF(VLOOKUP(A6,'Estado SCI'!$A$16:$G$59,7,0)="","",VLOOKUP(A6,'Estado SCI'!$A$16:$G$59,7,0))</f>
        <v>Si</v>
      </c>
      <c r="J6" s="156">
        <f t="shared" si="2"/>
        <v>1</v>
      </c>
      <c r="K6" s="157">
        <f t="shared" si="1"/>
        <v>0.79166666666666663</v>
      </c>
    </row>
    <row r="7" spans="1:11" x14ac:dyDescent="0.25">
      <c r="A7" s="155" t="s">
        <v>148</v>
      </c>
      <c r="B7" s="155" t="s">
        <v>32</v>
      </c>
      <c r="C7" s="155" t="s">
        <v>33</v>
      </c>
      <c r="D7" s="155" t="s">
        <v>46</v>
      </c>
      <c r="E7" s="155" t="s">
        <v>47</v>
      </c>
      <c r="F7" s="155" t="str">
        <f>+VLOOKUP(A7,'Estado SCI'!$A$16:$I$59,9,0)</f>
        <v>Oportunidad de mejora</v>
      </c>
      <c r="G7" s="155">
        <f>+VLOOKUP(A7,'Estado SCI'!$A$16:$L$59,12,0)</f>
        <v>10.123456789</v>
      </c>
      <c r="H7" s="155">
        <f t="shared" si="0"/>
        <v>2</v>
      </c>
      <c r="I7" s="155" t="str">
        <f>+IF(VLOOKUP(A7,'Estado SCI'!$A$16:$G$59,7,0)="","",VLOOKUP(A7,'Estado SCI'!$A$16:$G$59,7,0))</f>
        <v>En proceso</v>
      </c>
      <c r="J7" s="156">
        <f t="shared" si="2"/>
        <v>0.5</v>
      </c>
      <c r="K7" s="157">
        <f t="shared" si="1"/>
        <v>0.79166666666666663</v>
      </c>
    </row>
    <row r="8" spans="1:11" x14ac:dyDescent="0.25">
      <c r="A8" s="155" t="s">
        <v>149</v>
      </c>
      <c r="B8" s="155" t="s">
        <v>32</v>
      </c>
      <c r="C8" s="155" t="s">
        <v>33</v>
      </c>
      <c r="D8" s="155" t="s">
        <v>48</v>
      </c>
      <c r="E8" s="155" t="s">
        <v>49</v>
      </c>
      <c r="F8" s="155" t="str">
        <f>+VLOOKUP(A8,'Estado SCI'!$A$16:$I$59,9,0)</f>
        <v>Mantenimiento del control</v>
      </c>
      <c r="G8" s="155">
        <f>+VLOOKUP(A8,'Estado SCI'!$A$16:$L$59,12,0)</f>
        <v>20.1234567891</v>
      </c>
      <c r="H8" s="155">
        <f t="shared" si="0"/>
        <v>10</v>
      </c>
      <c r="I8" s="155" t="str">
        <f>+IF(VLOOKUP(A8,'Estado SCI'!$A$16:$G$59,7,0)="","",VLOOKUP(A8,'Estado SCI'!$A$16:$G$59,7,0))</f>
        <v>Si</v>
      </c>
      <c r="J8" s="156">
        <f t="shared" si="2"/>
        <v>1</v>
      </c>
      <c r="K8" s="157">
        <f t="shared" si="1"/>
        <v>0.79166666666666663</v>
      </c>
    </row>
    <row r="9" spans="1:11" x14ac:dyDescent="0.25">
      <c r="A9" s="155" t="s">
        <v>150</v>
      </c>
      <c r="B9" s="155" t="s">
        <v>32</v>
      </c>
      <c r="C9" s="155" t="s">
        <v>33</v>
      </c>
      <c r="D9" s="155" t="s">
        <v>50</v>
      </c>
      <c r="E9" s="155" t="s">
        <v>51</v>
      </c>
      <c r="F9" s="155" t="str">
        <f>+VLOOKUP(A9,'Estado SCI'!$A$16:$I$59,9,0)</f>
        <v>Oportunidad de mejora</v>
      </c>
      <c r="G9" s="155">
        <f>+VLOOKUP(A9,'Estado SCI'!$A$16:$L$59,12,0)</f>
        <v>10.12345678912</v>
      </c>
      <c r="H9" s="155">
        <f t="shared" si="0"/>
        <v>3</v>
      </c>
      <c r="I9" s="155" t="str">
        <f>+IF(VLOOKUP(A9,'Estado SCI'!$A$16:$G$59,7,0)="","",VLOOKUP(A9,'Estado SCI'!$A$16:$G$59,7,0))</f>
        <v>En proceso</v>
      </c>
      <c r="J9" s="156">
        <f t="shared" si="2"/>
        <v>0.5</v>
      </c>
      <c r="K9" s="157">
        <f t="shared" si="1"/>
        <v>0.79166666666666663</v>
      </c>
    </row>
    <row r="10" spans="1:11" x14ac:dyDescent="0.25">
      <c r="A10" s="155" t="s">
        <v>151</v>
      </c>
      <c r="B10" s="155" t="s">
        <v>32</v>
      </c>
      <c r="C10" s="155" t="s">
        <v>33</v>
      </c>
      <c r="D10" s="155" t="s">
        <v>52</v>
      </c>
      <c r="E10" s="155" t="s">
        <v>53</v>
      </c>
      <c r="F10" s="155" t="str">
        <f>+VLOOKUP(A10,'Estado SCI'!$A$16:$I$59,9,0)</f>
        <v>Deficiencia de control</v>
      </c>
      <c r="G10" s="155">
        <f>+VLOOKUP(A10,'Estado SCI'!$A$16:$L$59,12,0)</f>
        <v>0.123456789123</v>
      </c>
      <c r="H10" s="155">
        <f t="shared" si="0"/>
        <v>1</v>
      </c>
      <c r="I10" s="155" t="str">
        <f>+IF(VLOOKUP(A10,'Estado SCI'!$A$16:$G$59,7,0)="","",VLOOKUP(A10,'Estado SCI'!$A$16:$G$59,7,0))</f>
        <v>No</v>
      </c>
      <c r="J10" s="156">
        <f t="shared" si="2"/>
        <v>0</v>
      </c>
      <c r="K10" s="157">
        <f t="shared" si="1"/>
        <v>0.79166666666666663</v>
      </c>
    </row>
    <row r="11" spans="1:11" x14ac:dyDescent="0.25">
      <c r="A11" s="155" t="s">
        <v>152</v>
      </c>
      <c r="B11" s="155" t="s">
        <v>32</v>
      </c>
      <c r="C11" s="155" t="s">
        <v>33</v>
      </c>
      <c r="D11" s="155" t="s">
        <v>54</v>
      </c>
      <c r="E11" s="155" t="s">
        <v>55</v>
      </c>
      <c r="F11" s="155" t="str">
        <f>+VLOOKUP(A11,'Estado SCI'!$A$16:$I$59,9,0)</f>
        <v>Oportunidad de mejora</v>
      </c>
      <c r="G11" s="155">
        <f>+VLOOKUP(A11,'Estado SCI'!$A$16:$L$59,12,0)</f>
        <v>10.1234567891234</v>
      </c>
      <c r="H11" s="155">
        <f t="shared" si="0"/>
        <v>4</v>
      </c>
      <c r="I11" s="155" t="str">
        <f>+IF(VLOOKUP(A11,'Estado SCI'!$A$16:$G$59,7,0)="","",VLOOKUP(A11,'Estado SCI'!$A$16:$G$59,7,0))</f>
        <v>En proceso</v>
      </c>
      <c r="J11" s="156">
        <f t="shared" si="2"/>
        <v>0.5</v>
      </c>
      <c r="K11" s="157">
        <f t="shared" si="1"/>
        <v>0.79166666666666663</v>
      </c>
    </row>
    <row r="12" spans="1:11" x14ac:dyDescent="0.25">
      <c r="A12" s="155" t="s">
        <v>153</v>
      </c>
      <c r="B12" s="155" t="s">
        <v>32</v>
      </c>
      <c r="C12" s="155" t="s">
        <v>33</v>
      </c>
      <c r="D12" s="155" t="s">
        <v>56</v>
      </c>
      <c r="E12" s="155" t="s">
        <v>57</v>
      </c>
      <c r="F12" s="155" t="str">
        <f>+VLOOKUP(A12,'Estado SCI'!$A$16:$I$59,9,0)</f>
        <v>Mantenimiento del control</v>
      </c>
      <c r="G12" s="155">
        <f>+VLOOKUP(A12,'Estado SCI'!$A$16:$L$59,12,0)</f>
        <v>20.123456789123448</v>
      </c>
      <c r="H12" s="155">
        <f t="shared" si="0"/>
        <v>11</v>
      </c>
      <c r="I12" s="155" t="str">
        <f>+IF(VLOOKUP(A12,'Estado SCI'!$A$16:$G$59,7,0)="","",VLOOKUP(A12,'Estado SCI'!$A$16:$G$59,7,0))</f>
        <v>Si</v>
      </c>
      <c r="J12" s="156">
        <f t="shared" si="2"/>
        <v>1</v>
      </c>
      <c r="K12" s="157">
        <f t="shared" si="1"/>
        <v>0.79166666666666663</v>
      </c>
    </row>
    <row r="13" spans="1:11" x14ac:dyDescent="0.25">
      <c r="A13" s="155" t="s">
        <v>154</v>
      </c>
      <c r="B13" s="155" t="s">
        <v>32</v>
      </c>
      <c r="C13" s="155" t="s">
        <v>33</v>
      </c>
      <c r="D13" s="155" t="s">
        <v>58</v>
      </c>
      <c r="E13" s="155" t="s">
        <v>59</v>
      </c>
      <c r="F13" s="155" t="str">
        <f>+VLOOKUP(A13,'Estado SCI'!$A$16:$I$59,9,0)</f>
        <v>Mantenimiento del control</v>
      </c>
      <c r="G13" s="155">
        <f>+VLOOKUP(A13,'Estado SCI'!$A$16:$L$59,12,0)</f>
        <v>20.123456789123455</v>
      </c>
      <c r="H13" s="155">
        <f t="shared" si="0"/>
        <v>12</v>
      </c>
      <c r="I13" s="155" t="str">
        <f>+IF(VLOOKUP(A13,'Estado SCI'!$A$16:$G$59,7,0)="","",VLOOKUP(A13,'Estado SCI'!$A$16:$G$59,7,0))</f>
        <v>Si</v>
      </c>
      <c r="J13" s="156">
        <f t="shared" si="2"/>
        <v>1</v>
      </c>
      <c r="K13" s="157">
        <f t="shared" si="1"/>
        <v>0.79166666666666663</v>
      </c>
    </row>
    <row r="14" spans="1:11" ht="15" customHeight="1" x14ac:dyDescent="0.25">
      <c r="A14" s="155" t="s">
        <v>155</v>
      </c>
      <c r="B14" s="155" t="str">
        <f>+VLOOKUP(A14,'Estado SCI'!$A$16:$C$59,3,0)</f>
        <v>EVALUACION DEL RIESGO</v>
      </c>
      <c r="C14" s="155" t="s">
        <v>62</v>
      </c>
      <c r="D14" s="155" t="s">
        <v>34</v>
      </c>
      <c r="E14" s="155" t="s">
        <v>156</v>
      </c>
      <c r="F14" s="155" t="str">
        <f>+VLOOKUP(A14,'Estado SCI'!$A$16:$I$59,9,0)</f>
        <v>Mantenimiento del control</v>
      </c>
      <c r="G14" s="155">
        <f>+VLOOKUP(A14,'Estado SCI'!$A$16:$L$59,12,0)</f>
        <v>40.229999999999997</v>
      </c>
      <c r="H14" s="155">
        <f t="shared" si="0"/>
        <v>14</v>
      </c>
      <c r="I14" s="155" t="str">
        <f>+IF(VLOOKUP(A14,'Estado SCI'!$A$16:$G$59,7,0)="","",VLOOKUP(A14,'Estado SCI'!$A$16:$G$59,7,0))</f>
        <v>Si</v>
      </c>
      <c r="J14" s="156">
        <f t="shared" si="2"/>
        <v>1</v>
      </c>
      <c r="K14" s="157">
        <f t="shared" si="1"/>
        <v>0.95</v>
      </c>
    </row>
    <row r="15" spans="1:11" ht="15" customHeight="1" x14ac:dyDescent="0.25">
      <c r="A15" s="155" t="s">
        <v>157</v>
      </c>
      <c r="B15" s="155" t="s">
        <v>61</v>
      </c>
      <c r="C15" s="155" t="s">
        <v>62</v>
      </c>
      <c r="D15" s="155" t="s">
        <v>37</v>
      </c>
      <c r="E15" s="155" t="s">
        <v>158</v>
      </c>
      <c r="F15" s="155" t="str">
        <f>+VLOOKUP(A15,'Estado SCI'!$A$16:$I$59,9,0)</f>
        <v>Mantenimiento del control</v>
      </c>
      <c r="G15" s="155">
        <f>+VLOOKUP(A15,'Estado SCI'!$A$16:$L$59,12,0)</f>
        <v>40.234000000000002</v>
      </c>
      <c r="H15" s="155">
        <f t="shared" si="0"/>
        <v>15</v>
      </c>
      <c r="I15" s="155" t="str">
        <f>+IF(VLOOKUP(A15,'Estado SCI'!$A$16:$G$59,7,0)="","",VLOOKUP(A15,'Estado SCI'!$A$16:$G$59,7,0))</f>
        <v>Si</v>
      </c>
      <c r="J15" s="156">
        <f t="shared" si="2"/>
        <v>1</v>
      </c>
      <c r="K15" s="157">
        <f t="shared" si="1"/>
        <v>0.95</v>
      </c>
    </row>
    <row r="16" spans="1:11" ht="15" customHeight="1" x14ac:dyDescent="0.25">
      <c r="A16" s="155" t="s">
        <v>159</v>
      </c>
      <c r="B16" s="155" t="s">
        <v>61</v>
      </c>
      <c r="C16" s="155" t="s">
        <v>62</v>
      </c>
      <c r="D16" s="155" t="s">
        <v>40</v>
      </c>
      <c r="E16" s="155" t="s">
        <v>160</v>
      </c>
      <c r="F16" s="155" t="str">
        <f>+VLOOKUP(A16,'Estado SCI'!$A$16:$I$59,9,0)</f>
        <v>Mantenimiento del control</v>
      </c>
      <c r="G16" s="155">
        <f>+VLOOKUP(A16,'Estado SCI'!$A$16:$L$59,12,0)</f>
        <v>40.234499999999997</v>
      </c>
      <c r="H16" s="155">
        <f t="shared" si="0"/>
        <v>16</v>
      </c>
      <c r="I16" s="155" t="str">
        <f>+IF(VLOOKUP(A16,'Estado SCI'!$A$16:$G$59,7,0)="","",VLOOKUP(A16,'Estado SCI'!$A$16:$G$59,7,0))</f>
        <v>Si</v>
      </c>
      <c r="J16" s="156">
        <f t="shared" si="2"/>
        <v>1</v>
      </c>
      <c r="K16" s="157">
        <f t="shared" si="1"/>
        <v>0.95</v>
      </c>
    </row>
    <row r="17" spans="1:11" ht="15.75" customHeight="1" x14ac:dyDescent="0.25">
      <c r="A17" s="155" t="s">
        <v>161</v>
      </c>
      <c r="B17" s="155" t="s">
        <v>61</v>
      </c>
      <c r="C17" s="155" t="s">
        <v>62</v>
      </c>
      <c r="D17" s="155" t="s">
        <v>42</v>
      </c>
      <c r="E17" s="155" t="s">
        <v>66</v>
      </c>
      <c r="F17" s="155" t="str">
        <f>+VLOOKUP(A17,'Estado SCI'!$A$16:$I$59,9,0)</f>
        <v>Oportunidad de mejora</v>
      </c>
      <c r="G17" s="155">
        <f>+VLOOKUP(A17,'Estado SCI'!$A$16:$L$59,12,0)</f>
        <v>30.234559999999998</v>
      </c>
      <c r="H17" s="155">
        <f t="shared" si="0"/>
        <v>13</v>
      </c>
      <c r="I17" s="155" t="str">
        <f>+IF(VLOOKUP(A17,'Estado SCI'!$A$16:$G$59,7,0)="","",VLOOKUP(A17,'Estado SCI'!$A$16:$G$59,7,0))</f>
        <v>En proceso</v>
      </c>
      <c r="J17" s="156">
        <f t="shared" si="2"/>
        <v>0.5</v>
      </c>
      <c r="K17" s="157">
        <f t="shared" si="1"/>
        <v>0.95</v>
      </c>
    </row>
    <row r="18" spans="1:11" ht="15" customHeight="1" x14ac:dyDescent="0.25">
      <c r="A18" s="155" t="s">
        <v>162</v>
      </c>
      <c r="B18" s="155" t="s">
        <v>61</v>
      </c>
      <c r="C18" s="155" t="s">
        <v>80</v>
      </c>
      <c r="D18" s="155" t="s">
        <v>34</v>
      </c>
      <c r="E18" s="155" t="s">
        <v>69</v>
      </c>
      <c r="F18" s="155" t="str">
        <f>+VLOOKUP(A18,'Estado SCI'!$A$16:$I$59,9,0)</f>
        <v>Mantenimiento del control</v>
      </c>
      <c r="G18" s="155">
        <f>+VLOOKUP(A18,'Estado SCI'!$A$16:$L$59,12,0)</f>
        <v>40.234566999999998</v>
      </c>
      <c r="H18" s="155">
        <f t="shared" si="0"/>
        <v>17</v>
      </c>
      <c r="I18" s="155" t="str">
        <f>+IF(VLOOKUP(A18,'Estado SCI'!$A$16:$G$59,7,0)="","",VLOOKUP(A18,'Estado SCI'!$A$16:$G$59,7,0))</f>
        <v>Si</v>
      </c>
      <c r="J18" s="156">
        <f t="shared" si="2"/>
        <v>1</v>
      </c>
      <c r="K18" s="157">
        <f t="shared" si="1"/>
        <v>0.95</v>
      </c>
    </row>
    <row r="19" spans="1:11" ht="15" customHeight="1" x14ac:dyDescent="0.25">
      <c r="A19" s="155" t="s">
        <v>163</v>
      </c>
      <c r="B19" s="155" t="s">
        <v>61</v>
      </c>
      <c r="C19" s="155" t="s">
        <v>80</v>
      </c>
      <c r="D19" s="155" t="s">
        <v>37</v>
      </c>
      <c r="E19" s="155" t="s">
        <v>70</v>
      </c>
      <c r="F19" s="155" t="str">
        <f>+VLOOKUP(A19,'Estado SCI'!$A$16:$I$59,9,0)</f>
        <v>Mantenimiento del control</v>
      </c>
      <c r="G19" s="155">
        <f>+VLOOKUP(A19,'Estado SCI'!$A$16:$L$59,12,0)</f>
        <v>40.234567800000001</v>
      </c>
      <c r="H19" s="155">
        <f t="shared" si="0"/>
        <v>18</v>
      </c>
      <c r="I19" s="155" t="str">
        <f>+IF(VLOOKUP(A19,'Estado SCI'!$A$16:$G$59,7,0)="","",VLOOKUP(A19,'Estado SCI'!$A$16:$G$59,7,0))</f>
        <v>Si</v>
      </c>
      <c r="J19" s="156">
        <f t="shared" si="2"/>
        <v>1</v>
      </c>
      <c r="K19" s="157">
        <f t="shared" si="1"/>
        <v>0.95</v>
      </c>
    </row>
    <row r="20" spans="1:11" ht="15" customHeight="1" x14ac:dyDescent="0.25">
      <c r="A20" s="155" t="s">
        <v>164</v>
      </c>
      <c r="B20" s="155" t="s">
        <v>61</v>
      </c>
      <c r="C20" s="155" t="s">
        <v>80</v>
      </c>
      <c r="D20" s="155" t="s">
        <v>40</v>
      </c>
      <c r="E20" s="155" t="s">
        <v>71</v>
      </c>
      <c r="F20" s="155" t="str">
        <f>+VLOOKUP(A20,'Estado SCI'!$A$16:$I$59,9,0)</f>
        <v>Mantenimiento del control</v>
      </c>
      <c r="G20" s="155">
        <f>+VLOOKUP(A20,'Estado SCI'!$A$16:$L$59,12,0)</f>
        <v>40.234567890000001</v>
      </c>
      <c r="H20" s="155">
        <f t="shared" si="0"/>
        <v>19</v>
      </c>
      <c r="I20" s="155" t="str">
        <f>+IF(VLOOKUP(A20,'Estado SCI'!$A$16:$G$59,7,0)="","",VLOOKUP(A20,'Estado SCI'!$A$16:$G$59,7,0))</f>
        <v>Si</v>
      </c>
      <c r="J20" s="156">
        <f t="shared" si="2"/>
        <v>1</v>
      </c>
      <c r="K20" s="157">
        <f t="shared" si="1"/>
        <v>0.95</v>
      </c>
    </row>
    <row r="21" spans="1:11" ht="15.75" customHeight="1" x14ac:dyDescent="0.25">
      <c r="A21" s="155" t="s">
        <v>165</v>
      </c>
      <c r="B21" s="155" t="s">
        <v>61</v>
      </c>
      <c r="C21" s="155" t="s">
        <v>80</v>
      </c>
      <c r="D21" s="155" t="s">
        <v>34</v>
      </c>
      <c r="E21" s="155" t="s">
        <v>74</v>
      </c>
      <c r="F21" s="155" t="str">
        <f>+VLOOKUP(A21,'Estado SCI'!$A$16:$I$59,9,0)</f>
        <v>Mantenimiento del control</v>
      </c>
      <c r="G21" s="155">
        <f>+VLOOKUP(A21,'Estado SCI'!$A$16:$L$59,12,0)</f>
        <v>40.234567891200001</v>
      </c>
      <c r="H21" s="155">
        <f t="shared" si="0"/>
        <v>20</v>
      </c>
      <c r="I21" s="155" t="str">
        <f>+IF(VLOOKUP(A21,'Estado SCI'!$A$16:$G$59,7,0)="","",VLOOKUP(A21,'Estado SCI'!$A$16:$G$59,7,0))</f>
        <v>Si</v>
      </c>
      <c r="J21" s="156">
        <f t="shared" si="2"/>
        <v>1</v>
      </c>
      <c r="K21" s="157">
        <f t="shared" si="1"/>
        <v>0.95</v>
      </c>
    </row>
    <row r="22" spans="1:11" ht="15" customHeight="1" x14ac:dyDescent="0.25">
      <c r="A22" s="155" t="s">
        <v>166</v>
      </c>
      <c r="B22" s="155" t="s">
        <v>61</v>
      </c>
      <c r="C22" s="155" t="s">
        <v>88</v>
      </c>
      <c r="D22" s="155" t="s">
        <v>37</v>
      </c>
      <c r="E22" s="155" t="s">
        <v>75</v>
      </c>
      <c r="F22" s="155" t="str">
        <f>+VLOOKUP(A22,'Estado SCI'!$A$16:$I$59,9,0)</f>
        <v>Mantenimiento del control</v>
      </c>
      <c r="G22" s="155">
        <f>+VLOOKUP(A22,'Estado SCI'!$A$16:$L$59,12,0)</f>
        <v>40.23456789123</v>
      </c>
      <c r="H22" s="155">
        <f t="shared" si="0"/>
        <v>21</v>
      </c>
      <c r="I22" s="155" t="str">
        <f>+IF(VLOOKUP(A22,'Estado SCI'!$A$16:$G$59,7,0)="","",VLOOKUP(A22,'Estado SCI'!$A$16:$G$59,7,0))</f>
        <v>Si</v>
      </c>
      <c r="J22" s="156">
        <f t="shared" si="2"/>
        <v>1</v>
      </c>
      <c r="K22" s="157">
        <f t="shared" si="1"/>
        <v>0.95</v>
      </c>
    </row>
    <row r="23" spans="1:11" ht="15" customHeight="1" x14ac:dyDescent="0.25">
      <c r="A23" s="155" t="s">
        <v>167</v>
      </c>
      <c r="B23" s="155" t="s">
        <v>61</v>
      </c>
      <c r="C23" s="155" t="s">
        <v>88</v>
      </c>
      <c r="D23" s="155" t="s">
        <v>40</v>
      </c>
      <c r="E23" s="155" t="s">
        <v>77</v>
      </c>
      <c r="F23" s="155" t="str">
        <f>+VLOOKUP(A23,'Estado SCI'!$A$16:$I$59,9,0)</f>
        <v>Mantenimiento del control</v>
      </c>
      <c r="G23" s="155">
        <f>+VLOOKUP(A23,'Estado SCI'!$A$16:$L$59,12,0)</f>
        <v>40.234567891234001</v>
      </c>
      <c r="H23" s="155">
        <f t="shared" si="0"/>
        <v>22</v>
      </c>
      <c r="I23" s="155" t="str">
        <f>+IF(VLOOKUP(A23,'Estado SCI'!$A$16:$G$59,7,0)="","",VLOOKUP(A23,'Estado SCI'!$A$16:$G$59,7,0))</f>
        <v>Si</v>
      </c>
      <c r="J23" s="156">
        <f t="shared" si="2"/>
        <v>1</v>
      </c>
      <c r="K23" s="157">
        <f t="shared" si="1"/>
        <v>0.95</v>
      </c>
    </row>
    <row r="24" spans="1:11" ht="15" customHeight="1" x14ac:dyDescent="0.25">
      <c r="A24" s="155" t="s">
        <v>168</v>
      </c>
      <c r="B24" s="155" t="str">
        <f>+VLOOKUP(A24,'Estado SCI'!$A$16:$C$59,3,0)</f>
        <v>ACTIVIDADES DE CONTROL</v>
      </c>
      <c r="C24" s="155" t="s">
        <v>88</v>
      </c>
      <c r="D24" s="155" t="s">
        <v>34</v>
      </c>
      <c r="E24" s="155" t="s">
        <v>81</v>
      </c>
      <c r="F24" s="155" t="str">
        <f>+VLOOKUP(A24,'Estado SCI'!$A$16:$I$59,9,0)</f>
        <v>Mantenimiento del control</v>
      </c>
      <c r="G24" s="155">
        <f>+VLOOKUP(A24,'Estado SCI'!$A$16:$L$59,12,0)</f>
        <v>60.31</v>
      </c>
      <c r="H24" s="155">
        <f t="shared" si="0"/>
        <v>23</v>
      </c>
      <c r="I24" s="155" t="str">
        <f>+IF(VLOOKUP(A24,'Estado SCI'!$A$16:$G$59,7,0)="","",VLOOKUP(A24,'Estado SCI'!$A$16:$G$59,7,0))</f>
        <v>Si</v>
      </c>
      <c r="J24" s="156">
        <f t="shared" si="2"/>
        <v>1</v>
      </c>
      <c r="K24" s="157">
        <f t="shared" si="1"/>
        <v>1</v>
      </c>
    </row>
    <row r="25" spans="1:11" ht="15" customHeight="1" x14ac:dyDescent="0.25">
      <c r="A25" s="155" t="s">
        <v>169</v>
      </c>
      <c r="B25" s="155" t="s">
        <v>79</v>
      </c>
      <c r="C25" s="155" t="s">
        <v>88</v>
      </c>
      <c r="D25" s="155" t="s">
        <v>37</v>
      </c>
      <c r="E25" s="155" t="s">
        <v>82</v>
      </c>
      <c r="F25" s="155" t="str">
        <f>+VLOOKUP(A25,'Estado SCI'!$A$16:$I$59,9,0)</f>
        <v>Mantenimiento del control</v>
      </c>
      <c r="G25" s="155">
        <f>+VLOOKUP(A25,'Estado SCI'!$A$16:$L$59,12,0)</f>
        <v>60.323</v>
      </c>
      <c r="H25" s="155">
        <f t="shared" si="0"/>
        <v>24</v>
      </c>
      <c r="I25" s="155" t="str">
        <f>+IF(VLOOKUP(A25,'Estado SCI'!$A$16:$G$59,7,0)="","",VLOOKUP(A25,'Estado SCI'!$A$16:$G$59,7,0))</f>
        <v>Si</v>
      </c>
      <c r="J25" s="156">
        <f t="shared" si="2"/>
        <v>1</v>
      </c>
      <c r="K25" s="157">
        <f t="shared" si="1"/>
        <v>1</v>
      </c>
    </row>
    <row r="26" spans="1:11" ht="15" customHeight="1" x14ac:dyDescent="0.25">
      <c r="A26" s="155" t="s">
        <v>170</v>
      </c>
      <c r="B26" s="155" t="s">
        <v>79</v>
      </c>
      <c r="C26" s="155" t="s">
        <v>88</v>
      </c>
      <c r="D26" s="155" t="s">
        <v>40</v>
      </c>
      <c r="E26" s="155" t="s">
        <v>83</v>
      </c>
      <c r="F26" s="155" t="str">
        <f>+VLOOKUP(A26,'Estado SCI'!$A$16:$I$59,9,0)</f>
        <v>Mantenimiento del control</v>
      </c>
      <c r="G26" s="155">
        <f>+VLOOKUP(A26,'Estado SCI'!$A$16:$L$59,12,0)</f>
        <v>60.323999999999998</v>
      </c>
      <c r="H26" s="155">
        <f t="shared" si="0"/>
        <v>25</v>
      </c>
      <c r="I26" s="155" t="str">
        <f>+IF(VLOOKUP(A26,'Estado SCI'!$A$16:$G$59,7,0)="","",VLOOKUP(A26,'Estado SCI'!$A$16:$G$59,7,0))</f>
        <v>Si</v>
      </c>
      <c r="J26" s="156">
        <f t="shared" si="2"/>
        <v>1</v>
      </c>
      <c r="K26" s="157">
        <f t="shared" si="1"/>
        <v>1</v>
      </c>
    </row>
    <row r="27" spans="1:11" ht="15.75" customHeight="1" x14ac:dyDescent="0.25">
      <c r="A27" s="155" t="s">
        <v>171</v>
      </c>
      <c r="B27" s="155" t="s">
        <v>79</v>
      </c>
      <c r="C27" s="155" t="s">
        <v>88</v>
      </c>
      <c r="D27" s="155" t="s">
        <v>42</v>
      </c>
      <c r="E27" s="155" t="s">
        <v>84</v>
      </c>
      <c r="F27" s="155" t="str">
        <f>+VLOOKUP(A27,'Estado SCI'!$A$16:$I$59,9,0)</f>
        <v>Mantenimiento del control</v>
      </c>
      <c r="G27" s="155">
        <f>+VLOOKUP(A27,'Estado SCI'!$A$16:$L$59,12,0)</f>
        <v>60.325000000000003</v>
      </c>
      <c r="H27" s="155">
        <f t="shared" si="0"/>
        <v>26</v>
      </c>
      <c r="I27" s="155" t="str">
        <f>+IF(VLOOKUP(A27,'Estado SCI'!$A$16:$G$59,7,0)="","",VLOOKUP(A27,'Estado SCI'!$A$16:$G$59,7,0))</f>
        <v>Si</v>
      </c>
      <c r="J27" s="156">
        <f t="shared" si="2"/>
        <v>1</v>
      </c>
      <c r="K27" s="157">
        <f t="shared" si="1"/>
        <v>1</v>
      </c>
    </row>
    <row r="28" spans="1:11" ht="15" customHeight="1" x14ac:dyDescent="0.25">
      <c r="A28" s="155" t="s">
        <v>172</v>
      </c>
      <c r="B28" s="155" t="s">
        <v>79</v>
      </c>
      <c r="C28" s="155" t="s">
        <v>98</v>
      </c>
      <c r="D28" s="155" t="s">
        <v>44</v>
      </c>
      <c r="E28" s="155" t="s">
        <v>85</v>
      </c>
      <c r="F28" s="155" t="str">
        <f>+VLOOKUP(A28,'Estado SCI'!$A$16:$I$59,9,0)</f>
        <v>Mantenimiento del control</v>
      </c>
      <c r="G28" s="155">
        <f>+VLOOKUP(A28,'Estado SCI'!$A$16:$L$59,12,0)</f>
        <v>60.326000000000001</v>
      </c>
      <c r="H28" s="155">
        <f t="shared" si="0"/>
        <v>27</v>
      </c>
      <c r="I28" s="155" t="str">
        <f>+IF(VLOOKUP(A28,'Estado SCI'!$A$16:$G$59,7,0)="","",VLOOKUP(A28,'Estado SCI'!$A$16:$G$59,7,0))</f>
        <v>Si</v>
      </c>
      <c r="J28" s="156">
        <f t="shared" si="2"/>
        <v>1</v>
      </c>
      <c r="K28" s="157">
        <f t="shared" si="1"/>
        <v>1</v>
      </c>
    </row>
    <row r="29" spans="1:11" ht="15" customHeight="1" x14ac:dyDescent="0.25">
      <c r="A29" s="155" t="s">
        <v>173</v>
      </c>
      <c r="B29" s="155" t="str">
        <f>+VLOOKUP(A29,'Estado SCI'!$A$16:$C$59,3,0)</f>
        <v>INFORMACION Y COMUNICACIÓN</v>
      </c>
      <c r="C29" s="155" t="s">
        <v>98</v>
      </c>
      <c r="D29" s="155" t="s">
        <v>34</v>
      </c>
      <c r="E29" s="155" t="s">
        <v>89</v>
      </c>
      <c r="F29" s="155" t="str">
        <f>+VLOOKUP(A29,'Estado SCI'!$A$16:$I$59,9,0)</f>
        <v>Mantenimiento del control</v>
      </c>
      <c r="G29" s="155">
        <f>+VLOOKUP(A29,'Estado SCI'!$A$16:$L$59,12,0)</f>
        <v>80.412000000000006</v>
      </c>
      <c r="H29" s="155">
        <f t="shared" si="0"/>
        <v>30</v>
      </c>
      <c r="I29" s="155" t="str">
        <f>+IF(VLOOKUP(A29,'Estado SCI'!$A$16:$G$59,7,0)="","",VLOOKUP(A29,'Estado SCI'!$A$16:$G$59,7,0))</f>
        <v>Si</v>
      </c>
      <c r="J29" s="156">
        <f t="shared" si="2"/>
        <v>1</v>
      </c>
      <c r="K29" s="157">
        <f t="shared" si="1"/>
        <v>0.8571428571428571</v>
      </c>
    </row>
    <row r="30" spans="1:11" ht="15" customHeight="1" x14ac:dyDescent="0.25">
      <c r="A30" s="155" t="s">
        <v>174</v>
      </c>
      <c r="B30" s="155" t="s">
        <v>87</v>
      </c>
      <c r="C30" s="155" t="s">
        <v>98</v>
      </c>
      <c r="D30" s="155" t="s">
        <v>37</v>
      </c>
      <c r="E30" s="155" t="s">
        <v>90</v>
      </c>
      <c r="F30" s="155" t="str">
        <f>+VLOOKUP(A30,'Estado SCI'!$A$16:$I$59,9,0)</f>
        <v>Mantenimiento del control</v>
      </c>
      <c r="G30" s="155">
        <f>+VLOOKUP(A30,'Estado SCI'!$A$16:$L$59,12,0)</f>
        <v>80.412300000000002</v>
      </c>
      <c r="H30" s="155">
        <f t="shared" si="0"/>
        <v>31</v>
      </c>
      <c r="I30" s="155" t="str">
        <f>+IF(VLOOKUP(A30,'Estado SCI'!$A$16:$G$59,7,0)="","",VLOOKUP(A30,'Estado SCI'!$A$16:$G$59,7,0))</f>
        <v>Si</v>
      </c>
      <c r="J30" s="156">
        <f t="shared" si="2"/>
        <v>1</v>
      </c>
      <c r="K30" s="157">
        <f t="shared" si="1"/>
        <v>0.8571428571428571</v>
      </c>
    </row>
    <row r="31" spans="1:11" ht="15.75" customHeight="1" x14ac:dyDescent="0.25">
      <c r="A31" s="155" t="s">
        <v>175</v>
      </c>
      <c r="B31" s="155" t="s">
        <v>87</v>
      </c>
      <c r="C31" s="155" t="s">
        <v>98</v>
      </c>
      <c r="D31" s="155" t="s">
        <v>40</v>
      </c>
      <c r="E31" s="155" t="s">
        <v>91</v>
      </c>
      <c r="F31" s="155" t="str">
        <f>+VLOOKUP(A31,'Estado SCI'!$A$16:$I$59,9,0)</f>
        <v>Mantenimiento del control</v>
      </c>
      <c r="G31" s="155">
        <f>+VLOOKUP(A31,'Estado SCI'!$A$16:$L$59,12,0)</f>
        <v>80.41234</v>
      </c>
      <c r="H31" s="155">
        <f t="shared" si="0"/>
        <v>32</v>
      </c>
      <c r="I31" s="155" t="str">
        <f>+IF(VLOOKUP(A31,'Estado SCI'!$A$16:$G$59,7,0)="","",VLOOKUP(A31,'Estado SCI'!$A$16:$G$59,7,0))</f>
        <v>Si</v>
      </c>
      <c r="J31" s="156">
        <f t="shared" si="2"/>
        <v>1</v>
      </c>
      <c r="K31" s="157">
        <f t="shared" si="1"/>
        <v>0.8571428571428571</v>
      </c>
    </row>
    <row r="32" spans="1:11" x14ac:dyDescent="0.25">
      <c r="A32" s="155" t="s">
        <v>176</v>
      </c>
      <c r="B32" s="155" t="s">
        <v>87</v>
      </c>
      <c r="C32" s="155" t="s">
        <v>104</v>
      </c>
      <c r="D32" s="155" t="s">
        <v>42</v>
      </c>
      <c r="E32" s="155" t="s">
        <v>92</v>
      </c>
      <c r="F32" s="155" t="str">
        <f>+VLOOKUP(A32,'Estado SCI'!$A$16:$I$59,9,0)</f>
        <v>Oportunidad de mejora</v>
      </c>
      <c r="G32" s="155">
        <f>+VLOOKUP(A32,'Estado SCI'!$A$16:$L$59,12,0)</f>
        <v>70.412345000000002</v>
      </c>
      <c r="H32" s="155">
        <f t="shared" si="0"/>
        <v>28</v>
      </c>
      <c r="I32" s="155" t="str">
        <f>+IF(VLOOKUP(A32,'Estado SCI'!$A$16:$G$59,7,0)="","",VLOOKUP(A32,'Estado SCI'!$A$16:$G$59,7,0))</f>
        <v>En proceso</v>
      </c>
      <c r="J32" s="156">
        <f t="shared" si="2"/>
        <v>0.5</v>
      </c>
      <c r="K32" s="157">
        <f t="shared" si="1"/>
        <v>0.8571428571428571</v>
      </c>
    </row>
    <row r="33" spans="1:11" x14ac:dyDescent="0.25">
      <c r="A33" s="155" t="s">
        <v>177</v>
      </c>
      <c r="B33" s="155" t="s">
        <v>87</v>
      </c>
      <c r="C33" s="155" t="s">
        <v>178</v>
      </c>
      <c r="D33" s="155" t="s">
        <v>44</v>
      </c>
      <c r="E33" s="155" t="s">
        <v>93</v>
      </c>
      <c r="F33" s="155" t="str">
        <f>+VLOOKUP(A33,'Estado SCI'!$A$16:$I$59,9,0)</f>
        <v>Mantenimiento del control</v>
      </c>
      <c r="G33" s="155">
        <f>+VLOOKUP(A33,'Estado SCI'!$A$16:$L$59,12,0)</f>
        <v>80.412345599999995</v>
      </c>
      <c r="H33" s="155">
        <f t="shared" si="0"/>
        <v>33</v>
      </c>
      <c r="I33" s="155" t="str">
        <f>+IF(VLOOKUP(A33,'Estado SCI'!$A$16:$G$59,7,0)="","",VLOOKUP(A33,'Estado SCI'!$A$16:$G$59,7,0))</f>
        <v>Si</v>
      </c>
      <c r="J33" s="156">
        <f t="shared" si="2"/>
        <v>1</v>
      </c>
      <c r="K33" s="157">
        <f t="shared" si="1"/>
        <v>0.8571428571428571</v>
      </c>
    </row>
    <row r="34" spans="1:11" x14ac:dyDescent="0.25">
      <c r="A34" s="155" t="s">
        <v>179</v>
      </c>
      <c r="B34" s="155" t="s">
        <v>87</v>
      </c>
      <c r="C34" s="155" t="s">
        <v>178</v>
      </c>
      <c r="D34" s="155" t="s">
        <v>46</v>
      </c>
      <c r="E34" s="155" t="s">
        <v>94</v>
      </c>
      <c r="F34" s="155" t="str">
        <f>+VLOOKUP(A34,'Estado SCI'!$A$16:$I$59,9,0)</f>
        <v>Mantenimiento del control</v>
      </c>
      <c r="G34" s="155">
        <f>+VLOOKUP(A34,'Estado SCI'!$A$16:$L$59,12,0)</f>
        <v>80.412345669999993</v>
      </c>
      <c r="H34" s="155">
        <f t="shared" si="0"/>
        <v>34</v>
      </c>
      <c r="I34" s="155" t="str">
        <f>+IF(VLOOKUP(A34,'Estado SCI'!$A$16:$G$59,7,0)="","",VLOOKUP(A34,'Estado SCI'!$A$16:$G$59,7,0))</f>
        <v>Si</v>
      </c>
      <c r="J34" s="156">
        <f t="shared" si="2"/>
        <v>1</v>
      </c>
      <c r="K34" s="157">
        <f t="shared" si="1"/>
        <v>0.8571428571428571</v>
      </c>
    </row>
    <row r="35" spans="1:11" x14ac:dyDescent="0.25">
      <c r="A35" s="155" t="s">
        <v>180</v>
      </c>
      <c r="B35" s="155" t="s">
        <v>87</v>
      </c>
      <c r="C35" s="155" t="s">
        <v>178</v>
      </c>
      <c r="D35" s="155" t="s">
        <v>48</v>
      </c>
      <c r="E35" s="155" t="s">
        <v>95</v>
      </c>
      <c r="F35" s="155" t="str">
        <f>+VLOOKUP(A35,'Estado SCI'!$A$16:$I$59,9,0)</f>
        <v>Oportunidad de mejora</v>
      </c>
      <c r="G35" s="155">
        <f>+VLOOKUP(A35,'Estado SCI'!$A$16:$L$59,12,0)</f>
        <v>70.412345677999994</v>
      </c>
      <c r="H35" s="155">
        <f t="shared" si="0"/>
        <v>29</v>
      </c>
      <c r="I35" s="155" t="str">
        <f>+IF(VLOOKUP(A35,'Estado SCI'!$A$16:$G$59,7,0)="","",VLOOKUP(A35,'Estado SCI'!$A$16:$G$59,7,0))</f>
        <v>En proceso</v>
      </c>
      <c r="J35" s="156">
        <f t="shared" si="2"/>
        <v>0.5</v>
      </c>
      <c r="K35" s="157">
        <f t="shared" si="1"/>
        <v>0.8571428571428571</v>
      </c>
    </row>
    <row r="36" spans="1:11" x14ac:dyDescent="0.25">
      <c r="A36" s="155" t="s">
        <v>181</v>
      </c>
      <c r="B36" s="155" t="str">
        <f>+VLOOKUP(A36,'Estado SCI'!$A$16:$C$59,3,0)</f>
        <v>ACTIVIDADES DE MONITOREO</v>
      </c>
      <c r="C36" s="155" t="s">
        <v>178</v>
      </c>
      <c r="D36" s="155" t="s">
        <v>34</v>
      </c>
      <c r="E36" s="155" t="s">
        <v>99</v>
      </c>
      <c r="F36" s="155" t="str">
        <f>+VLOOKUP(A36,'Estado SCI'!$A$16:$I$59,9,0)</f>
        <v>Mantenimiento del control</v>
      </c>
      <c r="G36" s="155">
        <f>+VLOOKUP(A36,'Estado SCI'!$A$16:$L$59,12,0)</f>
        <v>120.851</v>
      </c>
      <c r="H36" s="155">
        <f t="shared" si="0"/>
        <v>36</v>
      </c>
      <c r="I36" s="155" t="str">
        <f>+IF(VLOOKUP(A36,'Estado SCI'!$A$16:$G$59,7,0)="","",VLOOKUP(A36,'Estado SCI'!$A$16:$G$59,7,0))</f>
        <v>Si</v>
      </c>
      <c r="J36" s="156">
        <f t="shared" si="2"/>
        <v>1</v>
      </c>
      <c r="K36" s="157">
        <f t="shared" si="1"/>
        <v>0.9</v>
      </c>
    </row>
    <row r="37" spans="1:11" x14ac:dyDescent="0.25">
      <c r="A37" s="155" t="s">
        <v>182</v>
      </c>
      <c r="B37" s="155" t="s">
        <v>97</v>
      </c>
      <c r="C37" s="155" t="s">
        <v>178</v>
      </c>
      <c r="D37" s="155" t="s">
        <v>42</v>
      </c>
      <c r="E37" s="155" t="s">
        <v>100</v>
      </c>
      <c r="F37" s="155" t="str">
        <f>+VLOOKUP(A37,'Estado SCI'!$A$16:$I$59,9,0)</f>
        <v>Mantenimiento del control</v>
      </c>
      <c r="G37" s="155">
        <f>+VLOOKUP(A37,'Estado SCI'!$A$16:$L$59,12,0)</f>
        <v>120.85120000000001</v>
      </c>
      <c r="H37" s="155">
        <f t="shared" si="0"/>
        <v>37</v>
      </c>
      <c r="I37" s="155" t="str">
        <f>+IF(VLOOKUP(A37,'Estado SCI'!$A$16:$G$59,7,0)="","",VLOOKUP(A37,'Estado SCI'!$A$16:$G$59,7,0))</f>
        <v>Si</v>
      </c>
      <c r="J37" s="156">
        <f t="shared" si="2"/>
        <v>1</v>
      </c>
      <c r="K37" s="157">
        <f t="shared" si="1"/>
        <v>0.9</v>
      </c>
    </row>
    <row r="38" spans="1:11" x14ac:dyDescent="0.25">
      <c r="A38" s="155" t="s">
        <v>183</v>
      </c>
      <c r="B38" s="155" t="s">
        <v>97</v>
      </c>
      <c r="C38" s="155" t="s">
        <v>68</v>
      </c>
      <c r="D38" s="155" t="s">
        <v>46</v>
      </c>
      <c r="E38" s="155" t="s">
        <v>101</v>
      </c>
      <c r="F38" s="155" t="str">
        <f>+VLOOKUP(A38,'Estado SCI'!$A$16:$I$59,9,0)</f>
        <v>Mantenimiento del control</v>
      </c>
      <c r="G38" s="155">
        <f>+VLOOKUP(A38,'Estado SCI'!$A$16:$L$59,12,0)</f>
        <v>120.85123</v>
      </c>
      <c r="H38" s="155">
        <f t="shared" si="0"/>
        <v>38</v>
      </c>
      <c r="I38" s="155" t="str">
        <f>+IF(VLOOKUP(A38,'Estado SCI'!$A$16:$G$59,7,0)="","",VLOOKUP(A38,'Estado SCI'!$A$16:$G$59,7,0))</f>
        <v>Si</v>
      </c>
      <c r="J38" s="156">
        <f t="shared" si="2"/>
        <v>1</v>
      </c>
      <c r="K38" s="157">
        <f t="shared" si="1"/>
        <v>0.9</v>
      </c>
    </row>
    <row r="39" spans="1:11" x14ac:dyDescent="0.25">
      <c r="A39" s="155" t="s">
        <v>184</v>
      </c>
      <c r="B39" s="155" t="s">
        <v>97</v>
      </c>
      <c r="C39" s="155" t="s">
        <v>68</v>
      </c>
      <c r="D39" s="155" t="s">
        <v>48</v>
      </c>
      <c r="E39" s="155" t="s">
        <v>102</v>
      </c>
      <c r="F39" s="155" t="str">
        <f>+VLOOKUP(A39,'Estado SCI'!$A$16:$I$59,9,0)</f>
        <v>Mantenimiento del control</v>
      </c>
      <c r="G39" s="155">
        <f>+VLOOKUP(A39,'Estado SCI'!$A$16:$L$59,12,0)</f>
        <v>120.85123400000001</v>
      </c>
      <c r="H39" s="155">
        <f t="shared" si="0"/>
        <v>39</v>
      </c>
      <c r="I39" s="155" t="str">
        <f>+IF(VLOOKUP(A39,'Estado SCI'!$A$16:$G$59,7,0)="","",VLOOKUP(A39,'Estado SCI'!$A$16:$G$59,7,0))</f>
        <v>Si</v>
      </c>
      <c r="J39" s="156">
        <f t="shared" si="2"/>
        <v>1</v>
      </c>
      <c r="K39" s="157">
        <f t="shared" si="1"/>
        <v>0.9</v>
      </c>
    </row>
    <row r="40" spans="1:11" x14ac:dyDescent="0.25">
      <c r="A40" s="155" t="s">
        <v>185</v>
      </c>
      <c r="B40" s="155" t="s">
        <v>97</v>
      </c>
      <c r="C40" s="155" t="s">
        <v>68</v>
      </c>
      <c r="D40" s="155" t="s">
        <v>50</v>
      </c>
      <c r="E40" s="155" t="s">
        <v>105</v>
      </c>
      <c r="F40" s="155" t="str">
        <f>+VLOOKUP(A40,'Estado SCI'!$A$16:$I$59,9,0)</f>
        <v>Deficiencia de control</v>
      </c>
      <c r="G40" s="155">
        <f>+VLOOKUP(A40,'Estado SCI'!$A$16:$L$59,12,0)</f>
        <v>80.851234500000004</v>
      </c>
      <c r="H40" s="155">
        <f t="shared" si="0"/>
        <v>35</v>
      </c>
      <c r="I40" s="155" t="str">
        <f>+IF(VLOOKUP(A40,'Estado SCI'!$A$16:$G$59,7,0)="","",VLOOKUP(A40,'Estado SCI'!$A$16:$G$59,7,0))</f>
        <v>No</v>
      </c>
      <c r="J40" s="156">
        <f t="shared" si="2"/>
        <v>0</v>
      </c>
      <c r="K40" s="157">
        <f t="shared" si="1"/>
        <v>0.9</v>
      </c>
    </row>
    <row r="41" spans="1:11" x14ac:dyDescent="0.25">
      <c r="A41" s="155" t="s">
        <v>186</v>
      </c>
      <c r="B41" s="155" t="s">
        <v>97</v>
      </c>
      <c r="C41" s="155" t="s">
        <v>68</v>
      </c>
      <c r="D41" s="155" t="s">
        <v>34</v>
      </c>
      <c r="E41" s="155" t="s">
        <v>108</v>
      </c>
      <c r="F41" s="155" t="str">
        <f>+VLOOKUP(A41,'Estado SCI'!$A$16:$I$59,9,0)</f>
        <v>Mantenimiento del control</v>
      </c>
      <c r="G41" s="155">
        <f>+VLOOKUP(A41,'Estado SCI'!$A$16:$L$59,12,0)</f>
        <v>120.85123455999999</v>
      </c>
      <c r="H41" s="155">
        <f t="shared" si="0"/>
        <v>40</v>
      </c>
      <c r="I41" s="155" t="str">
        <f>+IF(VLOOKUP(A41,'Estado SCI'!$A$16:$G$59,7,0)="","",VLOOKUP(A41,'Estado SCI'!$A$16:$G$59,7,0))</f>
        <v>Si</v>
      </c>
      <c r="J41" s="156">
        <f t="shared" si="2"/>
        <v>1</v>
      </c>
      <c r="K41" s="157">
        <f t="shared" si="1"/>
        <v>0.9</v>
      </c>
    </row>
    <row r="42" spans="1:11" x14ac:dyDescent="0.25">
      <c r="A42" s="155" t="s">
        <v>187</v>
      </c>
      <c r="B42" s="155" t="s">
        <v>97</v>
      </c>
      <c r="C42" s="155" t="s">
        <v>73</v>
      </c>
      <c r="D42" s="155" t="s">
        <v>37</v>
      </c>
      <c r="E42" s="155" t="s">
        <v>109</v>
      </c>
      <c r="F42" s="155" t="str">
        <f>+VLOOKUP(A42,'Estado SCI'!$A$16:$I$59,9,0)</f>
        <v>Mantenimiento del control</v>
      </c>
      <c r="G42" s="155">
        <f>+VLOOKUP(A42,'Estado SCI'!$A$16:$L$59,12,0)</f>
        <v>120.85123456700001</v>
      </c>
      <c r="H42" s="155">
        <f t="shared" si="0"/>
        <v>41</v>
      </c>
      <c r="I42" s="155" t="str">
        <f>+IF(VLOOKUP(A42,'Estado SCI'!$A$16:$G$59,7,0)="","",VLOOKUP(A42,'Estado SCI'!$A$16:$G$59,7,0))</f>
        <v>Si</v>
      </c>
      <c r="J42" s="156">
        <f t="shared" si="2"/>
        <v>1</v>
      </c>
      <c r="K42" s="157">
        <f t="shared" si="1"/>
        <v>0.9</v>
      </c>
    </row>
    <row r="43" spans="1:11" x14ac:dyDescent="0.25">
      <c r="A43" s="155" t="s">
        <v>188</v>
      </c>
      <c r="B43" s="155" t="s">
        <v>97</v>
      </c>
      <c r="C43" s="155" t="s">
        <v>73</v>
      </c>
      <c r="D43" s="155" t="s">
        <v>40</v>
      </c>
      <c r="E43" s="155" t="s">
        <v>110</v>
      </c>
      <c r="F43" s="155" t="str">
        <f>+VLOOKUP(A43,'Estado SCI'!$A$16:$I$59,9,0)</f>
        <v>Mantenimiento del control</v>
      </c>
      <c r="G43" s="155">
        <f>+VLOOKUP(A43,'Estado SCI'!$A$16:$L$59,12,0)</f>
        <v>120.85123456780001</v>
      </c>
      <c r="H43" s="155">
        <f t="shared" si="0"/>
        <v>42</v>
      </c>
      <c r="I43" s="155" t="str">
        <f>+IF(VLOOKUP(A43,'Estado SCI'!$A$16:$G$59,7,0)="","",VLOOKUP(A43,'Estado SCI'!$A$16:$G$59,7,0))</f>
        <v>Si</v>
      </c>
      <c r="J43" s="156">
        <f t="shared" si="2"/>
        <v>1</v>
      </c>
      <c r="K43" s="157">
        <f t="shared" si="1"/>
        <v>0.9</v>
      </c>
    </row>
    <row r="44" spans="1:11" x14ac:dyDescent="0.25">
      <c r="A44" s="155" t="s">
        <v>189</v>
      </c>
      <c r="B44" s="155" t="s">
        <v>97</v>
      </c>
      <c r="C44" s="155" t="s">
        <v>73</v>
      </c>
      <c r="D44" s="155" t="s">
        <v>42</v>
      </c>
      <c r="E44" s="155" t="s">
        <v>111</v>
      </c>
      <c r="F44" s="155" t="str">
        <f>+VLOOKUP(A44,'Estado SCI'!$A$16:$I$59,9,0)</f>
        <v>Mantenimiento del control</v>
      </c>
      <c r="G44" s="155">
        <f>+VLOOKUP(A44,'Estado SCI'!$A$16:$L$59,12,0)</f>
        <v>120.85123456789</v>
      </c>
      <c r="H44" s="155">
        <f t="shared" si="0"/>
        <v>43</v>
      </c>
      <c r="I44" s="155" t="str">
        <f>+IF(VLOOKUP(A44,'Estado SCI'!$A$16:$G$59,7,0)="","",VLOOKUP(A44,'Estado SCI'!$A$16:$G$59,7,0))</f>
        <v>Si</v>
      </c>
      <c r="J44" s="156">
        <f t="shared" si="2"/>
        <v>1</v>
      </c>
      <c r="K44" s="157">
        <f t="shared" si="1"/>
        <v>0.9</v>
      </c>
    </row>
    <row r="45" spans="1:11" x14ac:dyDescent="0.25">
      <c r="A45" s="155" t="s">
        <v>190</v>
      </c>
      <c r="B45" s="155" t="s">
        <v>97</v>
      </c>
      <c r="C45" s="155" t="s">
        <v>73</v>
      </c>
      <c r="D45" s="155" t="s">
        <v>44</v>
      </c>
      <c r="E45" s="155" t="s">
        <v>112</v>
      </c>
      <c r="F45" s="155" t="str">
        <f>+VLOOKUP(A45,'Estado SCI'!$A$16:$I$59,9,0)</f>
        <v>Mantenimiento del control</v>
      </c>
      <c r="G45" s="155">
        <f>+VLOOKUP(A45,'Estado SCI'!$A$16:$L$59,12,0)</f>
        <v>120.851234567891</v>
      </c>
      <c r="H45" s="155">
        <f t="shared" si="0"/>
        <v>44</v>
      </c>
      <c r="I45" s="155" t="str">
        <f>+IF(VLOOKUP(A45,'Estado SCI'!$A$16:$G$59,7,0)="","",VLOOKUP(A45,'Estado SCI'!$A$16:$G$59,7,0))</f>
        <v>Si</v>
      </c>
      <c r="J45" s="156">
        <f t="shared" si="2"/>
        <v>1</v>
      </c>
      <c r="K45" s="157">
        <f t="shared" si="1"/>
        <v>0.9</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CARLOSLEAL</cp:lastModifiedBy>
  <cp:revision/>
  <dcterms:created xsi:type="dcterms:W3CDTF">2020-04-28T13:58:09Z</dcterms:created>
  <dcterms:modified xsi:type="dcterms:W3CDTF">2024-01-19T21:09:23Z</dcterms:modified>
  <cp:category/>
  <cp:contentStatus/>
</cp:coreProperties>
</file>